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5" yWindow="45" windowWidth="17340" windowHeight="11070" tabRatio="830"/>
  </bookViews>
  <sheets>
    <sheet name="Q&amp;A" sheetId="22" r:id="rId1"/>
    <sheet name="summary" sheetId="1" r:id="rId2"/>
    <sheet name="Cash" sheetId="20" r:id="rId3"/>
    <sheet name="Worth" sheetId="18" r:id="rId4"/>
    <sheet name="All Income" sheetId="2" r:id="rId5"/>
    <sheet name="TSP" sheetId="4" r:id="rId6"/>
    <sheet name="Soc Sec" sheetId="3" r:id="rId7"/>
    <sheet name="FERS " sheetId="5" r:id="rId8"/>
    <sheet name="Rentals" sheetId="6" r:id="rId9"/>
    <sheet name="PT work" sheetId="25" r:id="rId10"/>
    <sheet name="IRA &amp; svgs" sheetId="7" r:id="rId11"/>
    <sheet name="All Expenses" sheetId="8" r:id="rId12"/>
    <sheet name="Expectation" sheetId="16" r:id="rId13"/>
    <sheet name="Housing" sheetId="9" r:id="rId14"/>
    <sheet name="Med + Ins" sheetId="10" r:id="rId15"/>
    <sheet name="Car" sheetId="11" r:id="rId16"/>
    <sheet name="Travel" sheetId="13" r:id="rId17"/>
    <sheet name="Food" sheetId="14" r:id="rId18"/>
    <sheet name="Charity" sheetId="17" r:id="rId19"/>
    <sheet name="Tax" sheetId="21" r:id="rId20"/>
    <sheet name="tax simple" sheetId="26" r:id="rId21"/>
    <sheet name="Misc" sheetId="15" r:id="rId22"/>
    <sheet name="option" sheetId="24" r:id="rId23"/>
  </sheets>
  <externalReferences>
    <externalReference r:id="rId24"/>
  </externalReferences>
  <definedNames>
    <definedName name="disi">[1]summary!$B$28</definedName>
    <definedName name="inc">[1]summary!$B$22</definedName>
  </definedNames>
  <calcPr calcId="125725" iterateDelta="1E-4"/>
</workbook>
</file>

<file path=xl/calcChain.xml><?xml version="1.0" encoding="utf-8"?>
<calcChain xmlns="http://schemas.openxmlformats.org/spreadsheetml/2006/main">
  <c r="A3" i="18"/>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F15" i="3"/>
  <c r="F16"/>
  <c r="F17"/>
  <c r="F18"/>
  <c r="F19"/>
  <c r="F20"/>
  <c r="F21"/>
  <c r="F22"/>
  <c r="F23"/>
  <c r="F24"/>
  <c r="F25"/>
  <c r="G15"/>
  <c r="B3" i="16"/>
  <c r="B4" s="1"/>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16" i="3"/>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15"/>
  <c r="O4"/>
  <c r="O5"/>
  <c r="O6"/>
  <c r="O7"/>
  <c r="O8"/>
  <c r="O9"/>
  <c r="O10"/>
  <c r="O11"/>
  <c r="O12"/>
  <c r="O13"/>
  <c r="O14"/>
  <c r="O15"/>
  <c r="O16"/>
  <c r="O17"/>
  <c r="O18"/>
  <c r="O19"/>
  <c r="O20"/>
  <c r="O21"/>
  <c r="O22"/>
  <c r="O23"/>
  <c r="O24"/>
  <c r="O25"/>
  <c r="O26"/>
  <c r="O27"/>
  <c r="O28"/>
  <c r="O29"/>
  <c r="O30"/>
  <c r="O31"/>
  <c r="O32"/>
  <c r="O33"/>
  <c r="O34"/>
  <c r="O35"/>
  <c r="O36"/>
  <c r="O37"/>
  <c r="O3"/>
  <c r="I3"/>
  <c r="I4" s="1"/>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N37" s="1"/>
  <c r="A3" i="10"/>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 i="9"/>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F12" i="5"/>
  <c r="C4" i="21"/>
  <c r="C5" s="1"/>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K5"/>
  <c r="K6"/>
  <c r="K7"/>
  <c r="K8"/>
  <c r="I5"/>
  <c r="I6"/>
  <c r="I7"/>
  <c r="I8"/>
  <c r="K4"/>
  <c r="I4"/>
  <c r="X6" i="2"/>
  <c r="W6"/>
  <c r="X9"/>
  <c r="W9"/>
  <c r="X3"/>
  <c r="P18"/>
  <c r="W3"/>
  <c r="U3" i="8"/>
  <c r="S18" s="1"/>
  <c r="N18" i="2" s="1"/>
  <c r="T3" i="8"/>
  <c r="G16" i="3"/>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F27"/>
  <c r="F28"/>
  <c r="F29"/>
  <c r="F30"/>
  <c r="F31"/>
  <c r="F32"/>
  <c r="F33"/>
  <c r="F34"/>
  <c r="F35"/>
  <c r="F36"/>
  <c r="F37"/>
  <c r="F38"/>
  <c r="F39"/>
  <c r="F40"/>
  <c r="F41"/>
  <c r="F42"/>
  <c r="F43"/>
  <c r="F44"/>
  <c r="F45"/>
  <c r="F46"/>
  <c r="F47"/>
  <c r="F48"/>
  <c r="F49"/>
  <c r="F50"/>
  <c r="F51"/>
  <c r="F52"/>
  <c r="F53"/>
  <c r="F54"/>
  <c r="F55"/>
  <c r="F56"/>
  <c r="F57"/>
  <c r="F58"/>
  <c r="F59"/>
  <c r="F60"/>
  <c r="F61"/>
  <c r="F62"/>
  <c r="F26"/>
  <c r="A3" i="2"/>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4" i="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B1" i="15"/>
  <c r="B1" i="17"/>
  <c r="F6" i="14"/>
  <c r="F8" s="1"/>
  <c r="B4" s="1"/>
  <c r="B1" i="13"/>
  <c r="D1" i="10"/>
  <c r="D1" i="9"/>
  <c r="K3" i="8"/>
  <c r="J3"/>
  <c r="H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D8" i="3"/>
  <c r="A2" i="25"/>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B2" i="6"/>
  <c r="F9" i="5"/>
  <c r="F14" s="1"/>
  <c r="M6" i="18"/>
  <c r="M7"/>
  <c r="M3"/>
  <c r="M4"/>
  <c r="F3"/>
  <c r="E3"/>
  <c r="F2" i="7"/>
  <c r="F3" s="1"/>
  <c r="F4" s="1"/>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B2"/>
  <c r="E4" i="4"/>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C1"/>
  <c r="C1" i="20"/>
  <c r="A4" i="1"/>
  <c r="C4" i="20"/>
  <c r="C5"/>
  <c r="C6"/>
  <c r="C8"/>
  <c r="C9"/>
  <c r="C10"/>
  <c r="C11"/>
  <c r="C12"/>
  <c r="C13"/>
  <c r="C14"/>
  <c r="C15"/>
  <c r="C16"/>
  <c r="C17"/>
  <c r="C18"/>
  <c r="C19"/>
  <c r="C20"/>
  <c r="C21"/>
  <c r="C22"/>
  <c r="C23"/>
  <c r="C24"/>
  <c r="C25"/>
  <c r="C26"/>
  <c r="C27"/>
  <c r="C28"/>
  <c r="C29"/>
  <c r="C30"/>
  <c r="C31"/>
  <c r="C32"/>
  <c r="C33"/>
  <c r="C34"/>
  <c r="C35"/>
  <c r="C36"/>
  <c r="C37"/>
  <c r="C3"/>
  <c r="E57" i="5"/>
  <c r="I4" i="2"/>
  <c r="M7" i="21"/>
  <c r="M6"/>
  <c r="M5"/>
  <c r="M4"/>
  <c r="I5" i="2"/>
  <c r="I6"/>
  <c r="I7"/>
  <c r="I8"/>
  <c r="I9"/>
  <c r="I10"/>
  <c r="I11"/>
  <c r="I12"/>
  <c r="I13"/>
  <c r="I14"/>
  <c r="I15"/>
  <c r="I16"/>
  <c r="I17"/>
  <c r="I18"/>
  <c r="I19"/>
  <c r="I20"/>
  <c r="I21"/>
  <c r="I22"/>
  <c r="I23"/>
  <c r="I24"/>
  <c r="I25"/>
  <c r="I26"/>
  <c r="I27"/>
  <c r="I28"/>
  <c r="I29"/>
  <c r="I30"/>
  <c r="I31"/>
  <c r="I32"/>
  <c r="I33"/>
  <c r="I34"/>
  <c r="I35"/>
  <c r="I36"/>
  <c r="C2" i="6"/>
  <c r="D2" s="1"/>
  <c r="G3" i="2" s="1"/>
  <c r="I3"/>
  <c r="M8" i="21"/>
  <c r="J4" i="18"/>
  <c r="E4" s="1"/>
  <c r="K4"/>
  <c r="F4" s="1"/>
  <c r="J5"/>
  <c r="K5"/>
  <c r="J6"/>
  <c r="K6"/>
  <c r="J7"/>
  <c r="K7"/>
  <c r="J8"/>
  <c r="K8"/>
  <c r="J9"/>
  <c r="K9"/>
  <c r="J10"/>
  <c r="K10"/>
  <c r="J11"/>
  <c r="K11"/>
  <c r="J12"/>
  <c r="K12"/>
  <c r="J13"/>
  <c r="K13"/>
  <c r="J14"/>
  <c r="K14"/>
  <c r="J15"/>
  <c r="K15"/>
  <c r="J16"/>
  <c r="K16"/>
  <c r="J17"/>
  <c r="K17"/>
  <c r="J18"/>
  <c r="K18"/>
  <c r="J19"/>
  <c r="K19"/>
  <c r="J20"/>
  <c r="K20"/>
  <c r="J21"/>
  <c r="K21"/>
  <c r="J22"/>
  <c r="K22"/>
  <c r="J23"/>
  <c r="K23"/>
  <c r="J24"/>
  <c r="K24"/>
  <c r="J25"/>
  <c r="K25"/>
  <c r="J26"/>
  <c r="K26"/>
  <c r="J27"/>
  <c r="K27"/>
  <c r="J28"/>
  <c r="K28"/>
  <c r="J29"/>
  <c r="K29"/>
  <c r="J30"/>
  <c r="K30"/>
  <c r="J31"/>
  <c r="K31"/>
  <c r="J32"/>
  <c r="K32"/>
  <c r="J33"/>
  <c r="K33"/>
  <c r="J34"/>
  <c r="K34"/>
  <c r="J35"/>
  <c r="K35"/>
  <c r="J36"/>
  <c r="K36"/>
  <c r="J37"/>
  <c r="K37"/>
  <c r="K3"/>
  <c r="J3"/>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C3" i="9"/>
  <c r="B4" i="17"/>
  <c r="M4" i="8"/>
  <c r="B3" i="13"/>
  <c r="M3" i="8"/>
  <c r="B3" i="15"/>
  <c r="B3" i="20"/>
  <c r="D3" s="1"/>
  <c r="M5" i="8"/>
  <c r="M6"/>
  <c r="M7"/>
  <c r="M8"/>
  <c r="M9"/>
  <c r="M10"/>
  <c r="M11"/>
  <c r="M12"/>
  <c r="M13"/>
  <c r="M14"/>
  <c r="M15"/>
  <c r="M16"/>
  <c r="M17"/>
  <c r="M18"/>
  <c r="M19"/>
  <c r="M20"/>
  <c r="M21"/>
  <c r="M22"/>
  <c r="M23"/>
  <c r="M24"/>
  <c r="M25"/>
  <c r="M26"/>
  <c r="M27"/>
  <c r="M28"/>
  <c r="M29"/>
  <c r="M30"/>
  <c r="M31"/>
  <c r="M32"/>
  <c r="M33"/>
  <c r="M34"/>
  <c r="M35"/>
  <c r="M36"/>
  <c r="M37"/>
  <c r="D3" i="18"/>
  <c r="K15" i="11"/>
  <c r="H14"/>
  <c r="K14"/>
  <c r="K20"/>
  <c r="H13"/>
  <c r="K13"/>
  <c r="K10"/>
  <c r="K7"/>
  <c r="K6"/>
  <c r="B1" i="14"/>
  <c r="C3" i="10"/>
  <c r="C41" i="5"/>
  <c r="H23"/>
  <c r="F7" i="3"/>
  <c r="F6"/>
  <c r="B5" i="11"/>
  <c r="S3" i="2"/>
  <c r="S6"/>
  <c r="S8"/>
  <c r="S10"/>
  <c r="S12"/>
  <c r="S14"/>
  <c r="S16"/>
  <c r="S4"/>
  <c r="S5"/>
  <c r="S7"/>
  <c r="S9"/>
  <c r="R10" s="1"/>
  <c r="S11"/>
  <c r="S13"/>
  <c r="S15"/>
  <c r="S17"/>
  <c r="U3"/>
  <c r="T3" s="1"/>
  <c r="C2" i="7" s="1"/>
  <c r="U5" i="2"/>
  <c r="U7"/>
  <c r="U9"/>
  <c r="T9" s="1"/>
  <c r="U11"/>
  <c r="U13"/>
  <c r="U15"/>
  <c r="T15" s="1"/>
  <c r="U17"/>
  <c r="U4"/>
  <c r="U6"/>
  <c r="T7" s="1"/>
  <c r="U8"/>
  <c r="U10"/>
  <c r="U12"/>
  <c r="T13" s="1"/>
  <c r="U14"/>
  <c r="U16"/>
  <c r="S37"/>
  <c r="U36"/>
  <c r="T37" s="1"/>
  <c r="P36"/>
  <c r="O36" s="1"/>
  <c r="S36" i="8"/>
  <c r="N36" i="2" s="1"/>
  <c r="M36" s="1"/>
  <c r="S35"/>
  <c r="U34"/>
  <c r="P34"/>
  <c r="S34" i="8"/>
  <c r="N34" i="2" s="1"/>
  <c r="S33"/>
  <c r="U32"/>
  <c r="P32"/>
  <c r="S32" i="8"/>
  <c r="N32" i="2" s="1"/>
  <c r="S31"/>
  <c r="U30"/>
  <c r="P30"/>
  <c r="S30" i="8"/>
  <c r="N30" i="2" s="1"/>
  <c r="S29"/>
  <c r="U28"/>
  <c r="P28"/>
  <c r="S28" i="8"/>
  <c r="N28" i="2" s="1"/>
  <c r="S27"/>
  <c r="U26"/>
  <c r="P26"/>
  <c r="S26" i="8"/>
  <c r="N26" i="2" s="1"/>
  <c r="S25"/>
  <c r="U24"/>
  <c r="P24"/>
  <c r="S24" i="8"/>
  <c r="N24" i="2" s="1"/>
  <c r="S23"/>
  <c r="U22"/>
  <c r="P22"/>
  <c r="S22" i="8"/>
  <c r="N22" i="2" s="1"/>
  <c r="S21"/>
  <c r="U20"/>
  <c r="P20"/>
  <c r="S20" i="8"/>
  <c r="N20" i="2" s="1"/>
  <c r="S19"/>
  <c r="U18"/>
  <c r="S5" i="8"/>
  <c r="N5" i="2" s="1"/>
  <c r="S7" i="8"/>
  <c r="N7" i="2" s="1"/>
  <c r="S9" i="8"/>
  <c r="N9" i="2" s="1"/>
  <c r="S11" i="8"/>
  <c r="N11" i="2" s="1"/>
  <c r="S13" i="8"/>
  <c r="N13" i="2" s="1"/>
  <c r="S15" i="8"/>
  <c r="N15" i="2" s="1"/>
  <c r="S17" i="8"/>
  <c r="N17" i="2" s="1"/>
  <c r="S3" i="8"/>
  <c r="N3" i="2" s="1"/>
  <c r="S4" i="8"/>
  <c r="N4" i="2" s="1"/>
  <c r="S6" i="8"/>
  <c r="S8"/>
  <c r="N8" i="2" s="1"/>
  <c r="S10" i="8"/>
  <c r="S12"/>
  <c r="N12" i="2" s="1"/>
  <c r="S14" i="8"/>
  <c r="S16"/>
  <c r="N16" i="2" s="1"/>
  <c r="P5"/>
  <c r="P7"/>
  <c r="P9"/>
  <c r="P11"/>
  <c r="P13"/>
  <c r="P15"/>
  <c r="O16" s="1"/>
  <c r="P17"/>
  <c r="P3"/>
  <c r="P4"/>
  <c r="P6"/>
  <c r="P8"/>
  <c r="P10"/>
  <c r="P12"/>
  <c r="P14"/>
  <c r="P16"/>
  <c r="U37"/>
  <c r="P37"/>
  <c r="S37" i="8"/>
  <c r="N37" i="2" s="1"/>
  <c r="S36"/>
  <c r="R36" s="1"/>
  <c r="U35"/>
  <c r="P35"/>
  <c r="S35" i="8"/>
  <c r="N35" i="2" s="1"/>
  <c r="S34"/>
  <c r="U33"/>
  <c r="T33" s="1"/>
  <c r="P33"/>
  <c r="S33" i="8"/>
  <c r="N33" i="2" s="1"/>
  <c r="S32"/>
  <c r="U31"/>
  <c r="P31"/>
  <c r="S31" i="8"/>
  <c r="N31" i="2" s="1"/>
  <c r="S30"/>
  <c r="U29"/>
  <c r="P29"/>
  <c r="S29" i="8"/>
  <c r="N29" i="2" s="1"/>
  <c r="S28"/>
  <c r="U27"/>
  <c r="T27" s="1"/>
  <c r="P27"/>
  <c r="S27" i="8"/>
  <c r="N27" i="2" s="1"/>
  <c r="S26"/>
  <c r="U25"/>
  <c r="P25"/>
  <c r="S25" i="8"/>
  <c r="N25" i="2" s="1"/>
  <c r="S24"/>
  <c r="U23"/>
  <c r="P23"/>
  <c r="S23" i="8"/>
  <c r="N23" i="2" s="1"/>
  <c r="S22"/>
  <c r="U21"/>
  <c r="T21" s="1"/>
  <c r="P21"/>
  <c r="S21" i="8"/>
  <c r="N21" i="2" s="1"/>
  <c r="S20"/>
  <c r="U19"/>
  <c r="P19"/>
  <c r="S19" i="8"/>
  <c r="N19" i="2" s="1"/>
  <c r="S18"/>
  <c r="E3" i="20" l="1"/>
  <c r="M16" i="2"/>
  <c r="R20"/>
  <c r="E19" i="6" s="1"/>
  <c r="O22" i="2"/>
  <c r="R26"/>
  <c r="E25" i="6" s="1"/>
  <c r="O28" i="2"/>
  <c r="R32"/>
  <c r="E31" i="6" s="1"/>
  <c r="O34" i="2"/>
  <c r="O14"/>
  <c r="C15" i="4" s="1"/>
  <c r="M22" i="2"/>
  <c r="M28"/>
  <c r="M34"/>
  <c r="R4"/>
  <c r="E3" i="6" s="1"/>
  <c r="B3" s="1"/>
  <c r="C3" s="1"/>
  <c r="D3" s="1"/>
  <c r="G4" i="2" s="1"/>
  <c r="T19"/>
  <c r="T25"/>
  <c r="C24" i="7" s="1"/>
  <c r="T31" i="2"/>
  <c r="R3" i="8"/>
  <c r="C3" i="15" s="1"/>
  <c r="R5" i="8"/>
  <c r="R7"/>
  <c r="Q7" i="2" s="1"/>
  <c r="R9" i="8"/>
  <c r="R11"/>
  <c r="Q11" i="2" s="1"/>
  <c r="R13" i="8"/>
  <c r="R15"/>
  <c r="Q15" i="2" s="1"/>
  <c r="R17" i="8"/>
  <c r="R19"/>
  <c r="Q19" i="2" s="1"/>
  <c r="R21" i="8"/>
  <c r="R23"/>
  <c r="R25"/>
  <c r="R27"/>
  <c r="R29"/>
  <c r="R31"/>
  <c r="Q31" i="2" s="1"/>
  <c r="R33" i="8"/>
  <c r="R35"/>
  <c r="Q35" i="2" s="1"/>
  <c r="R37" i="8"/>
  <c r="R4"/>
  <c r="Q4" i="2" s="1"/>
  <c r="R6" i="8"/>
  <c r="R8"/>
  <c r="Q8" i="2" s="1"/>
  <c r="R10" i="8"/>
  <c r="R12"/>
  <c r="R14"/>
  <c r="R16"/>
  <c r="Q16" i="2" s="1"/>
  <c r="R18" i="8"/>
  <c r="R20"/>
  <c r="Q20" i="2" s="1"/>
  <c r="R22" i="8"/>
  <c r="R24"/>
  <c r="Q24" i="2" s="1"/>
  <c r="R26" i="8"/>
  <c r="R28"/>
  <c r="R30"/>
  <c r="R32"/>
  <c r="R34"/>
  <c r="R36"/>
  <c r="Q36" i="2" s="1"/>
  <c r="T36"/>
  <c r="T34"/>
  <c r="C33" i="7" s="1"/>
  <c r="T32" i="2"/>
  <c r="T30"/>
  <c r="C29" i="7" s="1"/>
  <c r="T28" i="2"/>
  <c r="T26"/>
  <c r="C25" i="7" s="1"/>
  <c r="T24" i="2"/>
  <c r="T22"/>
  <c r="C21" i="7" s="1"/>
  <c r="T20" i="2"/>
  <c r="T18"/>
  <c r="C17" i="7" s="1"/>
  <c r="T16" i="2"/>
  <c r="T14"/>
  <c r="T12"/>
  <c r="T10"/>
  <c r="C9" i="7" s="1"/>
  <c r="T8" i="2"/>
  <c r="T6"/>
  <c r="C5" i="7" s="1"/>
  <c r="T35" i="2"/>
  <c r="T29"/>
  <c r="C28" i="7" s="1"/>
  <c r="T23" i="2"/>
  <c r="T17"/>
  <c r="C16" i="7" s="1"/>
  <c r="T11" i="2"/>
  <c r="T5"/>
  <c r="C4" i="7" s="1"/>
  <c r="T4" i="2"/>
  <c r="R16"/>
  <c r="R8"/>
  <c r="R22"/>
  <c r="E21" i="6" s="1"/>
  <c r="R28" i="2"/>
  <c r="R34"/>
  <c r="R14"/>
  <c r="R3"/>
  <c r="E2" i="6" s="1"/>
  <c r="R5" i="2"/>
  <c r="R7"/>
  <c r="E6" i="6" s="1"/>
  <c r="R9" i="2"/>
  <c r="R11"/>
  <c r="E10" i="6" s="1"/>
  <c r="R13" i="2"/>
  <c r="R15"/>
  <c r="E14" i="6" s="1"/>
  <c r="R17" i="2"/>
  <c r="R19"/>
  <c r="E18" i="6" s="1"/>
  <c r="R21" i="2"/>
  <c r="R23"/>
  <c r="E22" i="6" s="1"/>
  <c r="R25" i="2"/>
  <c r="R27"/>
  <c r="R29"/>
  <c r="R31"/>
  <c r="R33"/>
  <c r="R35"/>
  <c r="E34" i="6" s="1"/>
  <c r="R37" i="2"/>
  <c r="R6"/>
  <c r="E5" i="6" s="1"/>
  <c r="R12" i="2"/>
  <c r="R18"/>
  <c r="E17" i="6" s="1"/>
  <c r="R24" i="2"/>
  <c r="R30"/>
  <c r="E29" i="6" s="1"/>
  <c r="O7" i="2"/>
  <c r="C8" i="4" s="1"/>
  <c r="O4" i="2"/>
  <c r="C5" i="4" s="1"/>
  <c r="O26" i="2"/>
  <c r="O32"/>
  <c r="C33" i="4" s="1"/>
  <c r="O20" i="2"/>
  <c r="O10"/>
  <c r="C11" i="4" s="1"/>
  <c r="M26" i="2"/>
  <c r="M32"/>
  <c r="O3"/>
  <c r="C4" i="4" s="1"/>
  <c r="O5" i="2"/>
  <c r="C6" i="4" s="1"/>
  <c r="O9" i="2"/>
  <c r="O11"/>
  <c r="O13"/>
  <c r="O15"/>
  <c r="C16" i="4" s="1"/>
  <c r="O17" i="2"/>
  <c r="O19"/>
  <c r="C20" i="4" s="1"/>
  <c r="O21" i="2"/>
  <c r="O23"/>
  <c r="C24" i="4" s="1"/>
  <c r="O25" i="2"/>
  <c r="O27"/>
  <c r="O29"/>
  <c r="O31"/>
  <c r="C32" i="4" s="1"/>
  <c r="O33" i="2"/>
  <c r="O35"/>
  <c r="C36" i="4" s="1"/>
  <c r="O37" i="2"/>
  <c r="M14"/>
  <c r="M10"/>
  <c r="M20"/>
  <c r="O6"/>
  <c r="C7" i="4" s="1"/>
  <c r="O8" i="2"/>
  <c r="O12"/>
  <c r="C13" i="4" s="1"/>
  <c r="O18" i="2"/>
  <c r="O24"/>
  <c r="C25" i="4" s="1"/>
  <c r="O30" i="2"/>
  <c r="C31" i="4" s="1"/>
  <c r="M3" i="2"/>
  <c r="M9"/>
  <c r="M11"/>
  <c r="M13"/>
  <c r="M15"/>
  <c r="M17"/>
  <c r="M19"/>
  <c r="M21"/>
  <c r="M23"/>
  <c r="M25"/>
  <c r="M27"/>
  <c r="M29"/>
  <c r="M31"/>
  <c r="M33"/>
  <c r="M35"/>
  <c r="M37"/>
  <c r="M12"/>
  <c r="M18"/>
  <c r="M24"/>
  <c r="M30"/>
  <c r="K3" i="3"/>
  <c r="C3" i="2" s="1"/>
  <c r="C42" i="5"/>
  <c r="C43" s="1"/>
  <c r="E46" s="1"/>
  <c r="E58" s="1"/>
  <c r="E52"/>
  <c r="E48"/>
  <c r="E49" s="1"/>
  <c r="E21" s="1"/>
  <c r="E8" i="6"/>
  <c r="C3" i="7"/>
  <c r="E5" i="18"/>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C11" i="7"/>
  <c r="D4" i="4"/>
  <c r="F4" s="1"/>
  <c r="E3" i="2" s="1"/>
  <c r="C20" i="7"/>
  <c r="C26"/>
  <c r="C34"/>
  <c r="C36"/>
  <c r="Q5" i="2"/>
  <c r="N3" i="3"/>
  <c r="P3" s="1"/>
  <c r="N36"/>
  <c r="N34"/>
  <c r="N32"/>
  <c r="N30"/>
  <c r="N28"/>
  <c r="N26"/>
  <c r="N24"/>
  <c r="N22"/>
  <c r="N20"/>
  <c r="N18"/>
  <c r="N16"/>
  <c r="N14"/>
  <c r="N12"/>
  <c r="N10"/>
  <c r="N8"/>
  <c r="N6"/>
  <c r="N4"/>
  <c r="N35"/>
  <c r="N33"/>
  <c r="N31"/>
  <c r="N29"/>
  <c r="N27"/>
  <c r="N25"/>
  <c r="N23"/>
  <c r="N21"/>
  <c r="N19"/>
  <c r="N17"/>
  <c r="N15"/>
  <c r="N13"/>
  <c r="N11"/>
  <c r="N9"/>
  <c r="N7"/>
  <c r="N5"/>
  <c r="Q13" i="2"/>
  <c r="E16" i="6"/>
  <c r="Q18" i="2"/>
  <c r="Q9"/>
  <c r="Q17"/>
  <c r="C17" i="4"/>
  <c r="Q28" i="2"/>
  <c r="C30" i="4"/>
  <c r="E33" i="6"/>
  <c r="C38" i="4"/>
  <c r="C13" i="7"/>
  <c r="E12" i="6"/>
  <c r="Q32" i="2"/>
  <c r="C21" i="4"/>
  <c r="E20" i="6"/>
  <c r="C23" i="4"/>
  <c r="E24" i="6"/>
  <c r="C27" i="4"/>
  <c r="E26" i="6"/>
  <c r="C29" i="4"/>
  <c r="E28" i="6"/>
  <c r="E30"/>
  <c r="C34" i="4"/>
  <c r="E35" i="6"/>
  <c r="C19" i="4"/>
  <c r="F5" i="18"/>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C9" i="4"/>
  <c r="Q14" i="2"/>
  <c r="Q6"/>
  <c r="Q12"/>
  <c r="E23" i="6"/>
  <c r="H4" i="8"/>
  <c r="C18" i="7"/>
  <c r="Q21" i="2"/>
  <c r="Q22"/>
  <c r="C22" i="7"/>
  <c r="Q25" i="2"/>
  <c r="Q27"/>
  <c r="C30" i="7"/>
  <c r="Q33" i="2"/>
  <c r="C32" i="7"/>
  <c r="Q37" i="2"/>
  <c r="C15" i="7"/>
  <c r="C7"/>
  <c r="Q10" i="2"/>
  <c r="Q29"/>
  <c r="C28" i="4"/>
  <c r="N6" i="2"/>
  <c r="M4" s="1"/>
  <c r="N10"/>
  <c r="N14"/>
  <c r="E27" i="6"/>
  <c r="C26" i="4"/>
  <c r="C19" i="7"/>
  <c r="C23"/>
  <c r="C27"/>
  <c r="C31"/>
  <c r="C35"/>
  <c r="C14"/>
  <c r="C10"/>
  <c r="C6"/>
  <c r="E13" i="6"/>
  <c r="E9"/>
  <c r="E32"/>
  <c r="C22" i="4"/>
  <c r="C35"/>
  <c r="C37"/>
  <c r="E36" i="6"/>
  <c r="C12" i="4"/>
  <c r="C12" i="7"/>
  <c r="C8"/>
  <c r="C14" i="4"/>
  <c r="E15" i="6"/>
  <c r="E11"/>
  <c r="C18" i="4"/>
  <c r="C10"/>
  <c r="E7" i="6"/>
  <c r="E4"/>
  <c r="F3" i="20" l="1"/>
  <c r="D2" i="7" s="1"/>
  <c r="E2" s="1"/>
  <c r="G2" s="1"/>
  <c r="H3" i="2" s="1"/>
  <c r="F4" i="1"/>
  <c r="M5" i="2"/>
  <c r="M8"/>
  <c r="M6"/>
  <c r="M7"/>
  <c r="E53" i="5"/>
  <c r="H5" i="8"/>
  <c r="H6" s="1"/>
  <c r="H7" s="1"/>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E51" i="5"/>
  <c r="E59" s="1"/>
  <c r="B4" i="6"/>
  <c r="B5" s="1"/>
  <c r="K4" i="8"/>
  <c r="K5" s="1"/>
  <c r="K6" s="1"/>
  <c r="K7" s="1"/>
  <c r="K8" s="1"/>
  <c r="K9" s="1"/>
  <c r="K10" s="1"/>
  <c r="K11" s="1"/>
  <c r="K12" s="1"/>
  <c r="K13" s="1"/>
  <c r="K14" s="1"/>
  <c r="K15" s="1"/>
  <c r="K16" s="1"/>
  <c r="K17" s="1"/>
  <c r="K18" s="1"/>
  <c r="K19" s="1"/>
  <c r="K20" s="1"/>
  <c r="K21" s="1"/>
  <c r="K22" s="1"/>
  <c r="L3" i="3"/>
  <c r="K4" s="1"/>
  <c r="C4" i="2" s="1"/>
  <c r="Q3" i="3"/>
  <c r="L4"/>
  <c r="K5" s="1"/>
  <c r="K23" i="8"/>
  <c r="K24" s="1"/>
  <c r="K25" s="1"/>
  <c r="K26" s="1"/>
  <c r="K27" s="1"/>
  <c r="K28" s="1"/>
  <c r="K29" s="1"/>
  <c r="K30" s="1"/>
  <c r="K31" s="1"/>
  <c r="K32" s="1"/>
  <c r="K33" s="1"/>
  <c r="K34" s="1"/>
  <c r="K35" s="1"/>
  <c r="K36" s="1"/>
  <c r="K37" s="1"/>
  <c r="D3" i="15"/>
  <c r="N3" i="8" s="1"/>
  <c r="B4" i="15"/>
  <c r="C4" i="17"/>
  <c r="B5" s="1"/>
  <c r="C5" s="1"/>
  <c r="C3" i="13"/>
  <c r="D3" s="1"/>
  <c r="G3" i="8" s="1"/>
  <c r="C4" i="14"/>
  <c r="B5" s="1"/>
  <c r="D3" i="10"/>
  <c r="C4" s="1"/>
  <c r="D4" s="1"/>
  <c r="C5" i="11"/>
  <c r="Q3" i="2"/>
  <c r="D3" i="9"/>
  <c r="Q23" i="2"/>
  <c r="Q26"/>
  <c r="Q34"/>
  <c r="Q30"/>
  <c r="G4" i="4"/>
  <c r="H2" i="7" l="1"/>
  <c r="B3" s="1"/>
  <c r="C4" i="6"/>
  <c r="D4" s="1"/>
  <c r="G5" i="2" s="1"/>
  <c r="D63" i="5"/>
  <c r="E25" s="1"/>
  <c r="I44" s="1"/>
  <c r="F3" i="2" s="1"/>
  <c r="F4" s="1"/>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D65" i="5"/>
  <c r="H25" s="1"/>
  <c r="E3" i="10"/>
  <c r="P4" i="3"/>
  <c r="Q4" s="1"/>
  <c r="D3" i="2"/>
  <c r="L5" i="3"/>
  <c r="K6" s="1"/>
  <c r="C6" i="2" s="1"/>
  <c r="C5"/>
  <c r="L6" i="3"/>
  <c r="K7" s="1"/>
  <c r="C4" i="15"/>
  <c r="D4" i="17"/>
  <c r="I3" i="8" s="1"/>
  <c r="D5" i="17"/>
  <c r="I4" i="8" s="1"/>
  <c r="B6" i="17"/>
  <c r="C6" s="1"/>
  <c r="B4" i="13"/>
  <c r="D4" i="14"/>
  <c r="F3" i="8" s="1"/>
  <c r="C5" i="14"/>
  <c r="D5" i="11"/>
  <c r="E3" i="8" s="1"/>
  <c r="B6" i="11"/>
  <c r="E4" i="10"/>
  <c r="D4" i="8" s="1"/>
  <c r="C5" i="10"/>
  <c r="D5" s="1"/>
  <c r="E3" i="9"/>
  <c r="C3" i="8" s="1"/>
  <c r="C4" i="9"/>
  <c r="D4" s="1"/>
  <c r="D5" i="4"/>
  <c r="C3" i="18"/>
  <c r="D4"/>
  <c r="B6" i="6"/>
  <c r="C5"/>
  <c r="D5" s="1"/>
  <c r="G6" i="2" s="1"/>
  <c r="D3" i="8" l="1"/>
  <c r="G3" i="18"/>
  <c r="I3"/>
  <c r="P5" i="3"/>
  <c r="Q5" s="1"/>
  <c r="D4" i="2"/>
  <c r="J3"/>
  <c r="K3" s="1"/>
  <c r="L7" i="3"/>
  <c r="K8" s="1"/>
  <c r="C7" i="2"/>
  <c r="D4" i="15"/>
  <c r="N4" i="8" s="1"/>
  <c r="B5" i="15"/>
  <c r="C4" i="13"/>
  <c r="D4" s="1"/>
  <c r="G4" i="8" s="1"/>
  <c r="D6" i="17"/>
  <c r="I5" i="8" s="1"/>
  <c r="B7" i="17"/>
  <c r="C7" s="1"/>
  <c r="D5" i="14"/>
  <c r="F4" i="8" s="1"/>
  <c r="B6" i="14"/>
  <c r="C6" i="11"/>
  <c r="E5" i="10"/>
  <c r="D5" i="8" s="1"/>
  <c r="C6" i="10"/>
  <c r="D6" s="1"/>
  <c r="E4" i="9"/>
  <c r="C4" i="8" s="1"/>
  <c r="C5" i="9"/>
  <c r="D5" s="1"/>
  <c r="C6" i="6"/>
  <c r="D6" s="1"/>
  <c r="G7" i="2" s="1"/>
  <c r="B7" i="6"/>
  <c r="F5" i="4"/>
  <c r="E4" i="2" s="1"/>
  <c r="P6" i="3" l="1"/>
  <c r="Q6" s="1"/>
  <c r="D5" i="2"/>
  <c r="C4" i="1"/>
  <c r="B4" i="21"/>
  <c r="D4" s="1"/>
  <c r="L8" i="3"/>
  <c r="K9" s="1"/>
  <c r="C8" i="2"/>
  <c r="B5" i="13"/>
  <c r="C5" i="15"/>
  <c r="D7" i="17"/>
  <c r="I6" i="8" s="1"/>
  <c r="B8" i="17"/>
  <c r="C8" s="1"/>
  <c r="C6" i="14"/>
  <c r="D6" i="11"/>
  <c r="E4" i="8" s="1"/>
  <c r="B7" i="11"/>
  <c r="E6" i="10"/>
  <c r="D6" i="8" s="1"/>
  <c r="C7" i="10"/>
  <c r="D7" s="1"/>
  <c r="E5" i="9"/>
  <c r="C5" i="8" s="1"/>
  <c r="C6" i="9"/>
  <c r="D6" s="1"/>
  <c r="C7" i="6"/>
  <c r="D7" s="1"/>
  <c r="G8" i="2" s="1"/>
  <c r="B8" i="6"/>
  <c r="G5" i="4"/>
  <c r="C5" i="13" l="1"/>
  <c r="D5" s="1"/>
  <c r="G5" i="8" s="1"/>
  <c r="P7" i="3"/>
  <c r="Q7" s="1"/>
  <c r="D6" i="2"/>
  <c r="F4" i="21"/>
  <c r="E4"/>
  <c r="L3" i="8" s="1"/>
  <c r="O3" s="1"/>
  <c r="L9" i="3"/>
  <c r="K10" s="1"/>
  <c r="C9" i="2"/>
  <c r="D5" i="15"/>
  <c r="N5" i="8" s="1"/>
  <c r="B6" i="15"/>
  <c r="D8" i="17"/>
  <c r="I7" i="8" s="1"/>
  <c r="B9" i="17"/>
  <c r="C9" s="1"/>
  <c r="D6" i="14"/>
  <c r="F5" i="8" s="1"/>
  <c r="B7" i="14"/>
  <c r="C7" i="11"/>
  <c r="E7" i="10"/>
  <c r="D7" i="8" s="1"/>
  <c r="C8" i="10"/>
  <c r="D8" s="1"/>
  <c r="E6" i="9"/>
  <c r="C6" i="8" s="1"/>
  <c r="C7" i="9"/>
  <c r="D7" s="1"/>
  <c r="D6" i="4"/>
  <c r="C4" i="18"/>
  <c r="B9" i="6"/>
  <c r="C8"/>
  <c r="D8" s="1"/>
  <c r="G9" i="2" s="1"/>
  <c r="B6" i="13" l="1"/>
  <c r="G4" i="18"/>
  <c r="I4"/>
  <c r="P8" i="3"/>
  <c r="Q8" s="1"/>
  <c r="D7" i="2"/>
  <c r="D4" i="1"/>
  <c r="P3" i="8"/>
  <c r="L10" i="3"/>
  <c r="K11" s="1"/>
  <c r="C10" i="2"/>
  <c r="C6" i="15"/>
  <c r="D9" i="17"/>
  <c r="I8" i="8" s="1"/>
  <c r="B10" i="17"/>
  <c r="C10" s="1"/>
  <c r="C6" i="13"/>
  <c r="C7" i="14"/>
  <c r="D7" i="11"/>
  <c r="E5" i="8" s="1"/>
  <c r="B8" i="11"/>
  <c r="E8" i="10"/>
  <c r="D8" i="8" s="1"/>
  <c r="C9" i="10"/>
  <c r="D9" s="1"/>
  <c r="E7" i="9"/>
  <c r="C7" i="8" s="1"/>
  <c r="C8" i="9"/>
  <c r="D8" s="1"/>
  <c r="B10" i="6"/>
  <c r="C9"/>
  <c r="D9" s="1"/>
  <c r="G10" i="2" s="1"/>
  <c r="F6" i="4"/>
  <c r="E5" i="2" s="1"/>
  <c r="P9" i="3" l="1"/>
  <c r="Q9" s="1"/>
  <c r="D8" i="2"/>
  <c r="E4" i="1"/>
  <c r="B4" i="20"/>
  <c r="D4" s="1"/>
  <c r="L11" i="3"/>
  <c r="K12" s="1"/>
  <c r="C11" i="2"/>
  <c r="D6" i="15"/>
  <c r="N6" i="8" s="1"/>
  <c r="B7" i="15"/>
  <c r="D10" i="17"/>
  <c r="I9" i="8" s="1"/>
  <c r="B11" i="17"/>
  <c r="C11" s="1"/>
  <c r="D6" i="13"/>
  <c r="G6" i="8" s="1"/>
  <c r="B7" i="13"/>
  <c r="D7" i="14"/>
  <c r="F6" i="8" s="1"/>
  <c r="B8" i="14"/>
  <c r="C8" i="11"/>
  <c r="E9" i="10"/>
  <c r="C10"/>
  <c r="D10" s="1"/>
  <c r="E8" i="9"/>
  <c r="C8" i="8" s="1"/>
  <c r="C9" i="9"/>
  <c r="D9" s="1"/>
  <c r="G6" i="4"/>
  <c r="D7" s="1"/>
  <c r="C10" i="6"/>
  <c r="D10" s="1"/>
  <c r="G11" i="2" s="1"/>
  <c r="B11" i="6"/>
  <c r="D9" i="8" l="1"/>
  <c r="E4" i="20"/>
  <c r="P10" i="3"/>
  <c r="Q10" s="1"/>
  <c r="D9" i="2"/>
  <c r="L12" i="3"/>
  <c r="K13" s="1"/>
  <c r="C12" i="2"/>
  <c r="C7" i="15"/>
  <c r="D11" i="17"/>
  <c r="I10" i="8" s="1"/>
  <c r="B12" i="17"/>
  <c r="C12" s="1"/>
  <c r="C7" i="13"/>
  <c r="C8" i="14"/>
  <c r="D8" i="11"/>
  <c r="E6" i="8" s="1"/>
  <c r="B9" i="11"/>
  <c r="E10" i="10"/>
  <c r="D10" i="8" s="1"/>
  <c r="C11" i="10"/>
  <c r="D11" s="1"/>
  <c r="E9" i="9"/>
  <c r="C9" i="8" s="1"/>
  <c r="C10" i="9"/>
  <c r="D10" s="1"/>
  <c r="C5" i="18"/>
  <c r="B12" i="6"/>
  <c r="C11"/>
  <c r="D11" s="1"/>
  <c r="G12" i="2" s="1"/>
  <c r="F7" i="4"/>
  <c r="E6" i="2" s="1"/>
  <c r="F4" i="20" l="1"/>
  <c r="D3" i="7" s="1"/>
  <c r="E3" s="1"/>
  <c r="F5" i="1"/>
  <c r="G3" i="7"/>
  <c r="H4" i="2" s="1"/>
  <c r="J4" s="1"/>
  <c r="K4" s="1"/>
  <c r="P11" i="3"/>
  <c r="Q11" s="1"/>
  <c r="D10" i="2"/>
  <c r="L13" i="3"/>
  <c r="K14" s="1"/>
  <c r="C13" i="2"/>
  <c r="D7" i="15"/>
  <c r="N7" i="8" s="1"/>
  <c r="B8" i="15"/>
  <c r="D12" i="17"/>
  <c r="I11" i="8" s="1"/>
  <c r="B13" i="17"/>
  <c r="C13" s="1"/>
  <c r="D7" i="13"/>
  <c r="G7" i="8" s="1"/>
  <c r="B8" i="13"/>
  <c r="D8" i="14"/>
  <c r="F7" i="8" s="1"/>
  <c r="B9" i="14"/>
  <c r="C9" i="11"/>
  <c r="E11" i="10"/>
  <c r="D11" i="8" s="1"/>
  <c r="C12" i="10"/>
  <c r="D12" s="1"/>
  <c r="E10" i="9"/>
  <c r="C10" i="8" s="1"/>
  <c r="C11" i="9"/>
  <c r="D11" s="1"/>
  <c r="B13" i="6"/>
  <c r="C12"/>
  <c r="D12" s="1"/>
  <c r="G13" i="2" s="1"/>
  <c r="G7" i="4"/>
  <c r="B5" i="21" l="1"/>
  <c r="D5" s="1"/>
  <c r="C5" i="1"/>
  <c r="H3" i="7"/>
  <c r="B4" s="1"/>
  <c r="P12" i="3"/>
  <c r="Q12" s="1"/>
  <c r="D11" i="2"/>
  <c r="L14" i="3"/>
  <c r="K15" s="1"/>
  <c r="C14" i="2"/>
  <c r="C8" i="15"/>
  <c r="D13" i="17"/>
  <c r="I12" i="8" s="1"/>
  <c r="B14" i="17"/>
  <c r="C14" s="1"/>
  <c r="C8" i="13"/>
  <c r="C9" i="14"/>
  <c r="D9" i="11"/>
  <c r="E7" i="8" s="1"/>
  <c r="B10" i="11"/>
  <c r="E12" i="10"/>
  <c r="D12" i="8" s="1"/>
  <c r="C13" i="10"/>
  <c r="D13" s="1"/>
  <c r="E11" i="9"/>
  <c r="C11" i="8" s="1"/>
  <c r="C12" i="9"/>
  <c r="D12" s="1"/>
  <c r="C6" i="18"/>
  <c r="D8" i="4"/>
  <c r="B14" i="6"/>
  <c r="C13"/>
  <c r="D13" s="1"/>
  <c r="G14" i="2" s="1"/>
  <c r="D5" i="18" l="1"/>
  <c r="E5" i="21"/>
  <c r="L4" i="8" s="1"/>
  <c r="O4" s="1"/>
  <c r="F5" i="21"/>
  <c r="P13" i="3"/>
  <c r="Q13" s="1"/>
  <c r="D12" i="2"/>
  <c r="L15" i="3"/>
  <c r="K16" s="1"/>
  <c r="C15" i="2"/>
  <c r="D8" i="15"/>
  <c r="N8" i="8" s="1"/>
  <c r="B9" i="15"/>
  <c r="D14" i="17"/>
  <c r="I13" i="8" s="1"/>
  <c r="B15" i="17"/>
  <c r="C15" s="1"/>
  <c r="D8" i="13"/>
  <c r="G8" i="8" s="1"/>
  <c r="B9" i="13"/>
  <c r="D9" i="14"/>
  <c r="F8" i="8" s="1"/>
  <c r="B10" i="14"/>
  <c r="C10" i="11"/>
  <c r="E13" i="10"/>
  <c r="D13" i="8" s="1"/>
  <c r="C14" i="10"/>
  <c r="D14" s="1"/>
  <c r="E12" i="9"/>
  <c r="C12" i="8" s="1"/>
  <c r="C13" i="9"/>
  <c r="D13" s="1"/>
  <c r="C14" i="6"/>
  <c r="D14" s="1"/>
  <c r="G15" i="2" s="1"/>
  <c r="B15" i="6"/>
  <c r="F8" i="4"/>
  <c r="E7" i="2" s="1"/>
  <c r="P4" i="8" l="1"/>
  <c r="D5" i="1"/>
  <c r="I5" i="18"/>
  <c r="G5"/>
  <c r="P14" i="3"/>
  <c r="Q14" s="1"/>
  <c r="D13" i="2"/>
  <c r="L16" i="3"/>
  <c r="K17" s="1"/>
  <c r="C16" i="2"/>
  <c r="C9" i="15"/>
  <c r="D15" i="17"/>
  <c r="I14" i="8" s="1"/>
  <c r="B16" i="17"/>
  <c r="C16" s="1"/>
  <c r="C9" i="13"/>
  <c r="C10" i="14"/>
  <c r="D10" i="11"/>
  <c r="E8" i="8" s="1"/>
  <c r="B11" i="11"/>
  <c r="E14" i="10"/>
  <c r="D14" i="8" s="1"/>
  <c r="C15" i="10"/>
  <c r="D15" s="1"/>
  <c r="E13" i="9"/>
  <c r="C13" i="8" s="1"/>
  <c r="C14" i="9"/>
  <c r="D14" s="1"/>
  <c r="G8" i="4"/>
  <c r="C7" i="18" s="1"/>
  <c r="C15" i="6"/>
  <c r="D15" s="1"/>
  <c r="G16" i="2" s="1"/>
  <c r="B16" i="6"/>
  <c r="B5" i="20" l="1"/>
  <c r="D5" s="1"/>
  <c r="E5" i="1"/>
  <c r="P15" i="3"/>
  <c r="Q15" s="1"/>
  <c r="D14" i="2"/>
  <c r="L17" i="3"/>
  <c r="K18" s="1"/>
  <c r="C17" i="2"/>
  <c r="D9" i="15"/>
  <c r="N9" i="8" s="1"/>
  <c r="B10" i="15"/>
  <c r="D16" i="17"/>
  <c r="I15" i="8" s="1"/>
  <c r="B17" i="17"/>
  <c r="C17" s="1"/>
  <c r="D9" i="13"/>
  <c r="G9" i="8" s="1"/>
  <c r="B10" i="13"/>
  <c r="D10" i="14"/>
  <c r="F9" i="8" s="1"/>
  <c r="B11" i="14"/>
  <c r="C11" i="11"/>
  <c r="E15" i="10"/>
  <c r="D15" i="8" s="1"/>
  <c r="C16" i="10"/>
  <c r="D16" s="1"/>
  <c r="E14" i="9"/>
  <c r="C14" i="8" s="1"/>
  <c r="C15" i="9"/>
  <c r="D15" s="1"/>
  <c r="D9" i="4"/>
  <c r="F9" s="1"/>
  <c r="E8" i="2" s="1"/>
  <c r="B17" i="6"/>
  <c r="C16"/>
  <c r="D16" s="1"/>
  <c r="G17" i="2" s="1"/>
  <c r="E5" i="20" l="1"/>
  <c r="P16" i="3"/>
  <c r="Q16" s="1"/>
  <c r="D15" i="2"/>
  <c r="L18" i="3"/>
  <c r="K19" s="1"/>
  <c r="C18" i="2"/>
  <c r="C10" i="15"/>
  <c r="D17" i="17"/>
  <c r="I16" i="8" s="1"/>
  <c r="B18" i="17"/>
  <c r="C18" s="1"/>
  <c r="C10" i="13"/>
  <c r="C11" i="14"/>
  <c r="D11" i="11"/>
  <c r="E9" i="8" s="1"/>
  <c r="B12" i="11"/>
  <c r="E16" i="10"/>
  <c r="D16" i="8" s="1"/>
  <c r="C17" i="10"/>
  <c r="D17" s="1"/>
  <c r="E15" i="9"/>
  <c r="C15" i="8" s="1"/>
  <c r="C16" i="9"/>
  <c r="D16" s="1"/>
  <c r="G9" i="4"/>
  <c r="B18" i="6"/>
  <c r="C17"/>
  <c r="D17" s="1"/>
  <c r="G18" i="2" s="1"/>
  <c r="F5" i="20" l="1"/>
  <c r="D4" i="7" s="1"/>
  <c r="E4" s="1"/>
  <c r="F6" i="1"/>
  <c r="G4" i="7"/>
  <c r="H5" i="2" s="1"/>
  <c r="J5" s="1"/>
  <c r="K5" s="1"/>
  <c r="P17" i="3"/>
  <c r="Q17" s="1"/>
  <c r="D16" i="2"/>
  <c r="L19" i="3"/>
  <c r="K20" s="1"/>
  <c r="C19" i="2"/>
  <c r="D10" i="15"/>
  <c r="N10" i="8" s="1"/>
  <c r="B11" i="15"/>
  <c r="D18" i="17"/>
  <c r="I17" i="8" s="1"/>
  <c r="B19" i="17"/>
  <c r="C19" s="1"/>
  <c r="D10" i="13"/>
  <c r="G10" i="8" s="1"/>
  <c r="B11" i="13"/>
  <c r="D11" i="14"/>
  <c r="F10" i="8" s="1"/>
  <c r="B12" i="14"/>
  <c r="C12" i="11"/>
  <c r="E17" i="10"/>
  <c r="D17" i="8" s="1"/>
  <c r="C18" i="10"/>
  <c r="D18" s="1"/>
  <c r="E16" i="9"/>
  <c r="C16" i="8" s="1"/>
  <c r="C17" i="9"/>
  <c r="D17" s="1"/>
  <c r="B19" i="6"/>
  <c r="C18"/>
  <c r="D18" s="1"/>
  <c r="G19" i="2" s="1"/>
  <c r="D10" i="4"/>
  <c r="C8" i="18"/>
  <c r="B6" i="21" l="1"/>
  <c r="D6" s="1"/>
  <c r="C6" i="1"/>
  <c r="H4" i="7"/>
  <c r="B5" s="1"/>
  <c r="P18" i="3"/>
  <c r="Q18" s="1"/>
  <c r="D17" i="2"/>
  <c r="L20" i="3"/>
  <c r="K21" s="1"/>
  <c r="C20" i="2"/>
  <c r="C11" i="15"/>
  <c r="D19" i="17"/>
  <c r="I18" i="8" s="1"/>
  <c r="B20" i="17"/>
  <c r="C20" s="1"/>
  <c r="C11" i="13"/>
  <c r="C12" i="14"/>
  <c r="D12" i="11"/>
  <c r="E10" i="8" s="1"/>
  <c r="B13" i="11"/>
  <c r="E18" i="10"/>
  <c r="D18" i="8" s="1"/>
  <c r="C19" i="10"/>
  <c r="D19" s="1"/>
  <c r="E17" i="9"/>
  <c r="C17" i="8" s="1"/>
  <c r="C18" i="9"/>
  <c r="D18" s="1"/>
  <c r="F10" i="4"/>
  <c r="E9" i="2" s="1"/>
  <c r="C19" i="6"/>
  <c r="D19" s="1"/>
  <c r="G20" i="2" s="1"/>
  <c r="B20" i="6"/>
  <c r="D6" i="18" l="1"/>
  <c r="F6" i="21"/>
  <c r="E6"/>
  <c r="L5" i="8" s="1"/>
  <c r="O5" s="1"/>
  <c r="P19" i="3"/>
  <c r="Q19" s="1"/>
  <c r="D18" i="2"/>
  <c r="L21" i="3"/>
  <c r="K22" s="1"/>
  <c r="C21" i="2"/>
  <c r="G10" i="4"/>
  <c r="C9" i="18" s="1"/>
  <c r="D11" i="15"/>
  <c r="N11" i="8" s="1"/>
  <c r="B12" i="15"/>
  <c r="D20" i="17"/>
  <c r="I19" i="8" s="1"/>
  <c r="B21" i="17"/>
  <c r="C21" s="1"/>
  <c r="D11" i="13"/>
  <c r="G11" i="8" s="1"/>
  <c r="B12" i="13"/>
  <c r="D12" i="14"/>
  <c r="F11" i="8" s="1"/>
  <c r="B13" i="14"/>
  <c r="C13" i="11"/>
  <c r="E19" i="10"/>
  <c r="D19" i="8" s="1"/>
  <c r="C20" i="10"/>
  <c r="D20" s="1"/>
  <c r="E18" i="9"/>
  <c r="C18" i="8" s="1"/>
  <c r="C19" i="9"/>
  <c r="D19" s="1"/>
  <c r="C20" i="6"/>
  <c r="D20" s="1"/>
  <c r="G21" i="2" s="1"/>
  <c r="B21" i="6"/>
  <c r="D11" i="4"/>
  <c r="P5" i="8" l="1"/>
  <c r="D6" i="1"/>
  <c r="G6" i="18"/>
  <c r="I6"/>
  <c r="P20" i="3"/>
  <c r="Q20" s="1"/>
  <c r="D19" i="2"/>
  <c r="L22" i="3"/>
  <c r="K23" s="1"/>
  <c r="C22" i="2"/>
  <c r="C12" i="15"/>
  <c r="D21" i="17"/>
  <c r="I20" i="8" s="1"/>
  <c r="B22" i="17"/>
  <c r="C22" s="1"/>
  <c r="C12" i="13"/>
  <c r="C13" i="14"/>
  <c r="D13" i="11"/>
  <c r="E11" i="8" s="1"/>
  <c r="B14" i="11"/>
  <c r="E20" i="10"/>
  <c r="D20" i="8" s="1"/>
  <c r="C21" i="10"/>
  <c r="D21" s="1"/>
  <c r="E19" i="9"/>
  <c r="C19" i="8" s="1"/>
  <c r="C20" i="9"/>
  <c r="D20" s="1"/>
  <c r="C21" i="6"/>
  <c r="D21" s="1"/>
  <c r="G22" i="2" s="1"/>
  <c r="B22" i="6"/>
  <c r="F11" i="4"/>
  <c r="E10" i="2" s="1"/>
  <c r="E6" i="1" l="1"/>
  <c r="B6" i="20"/>
  <c r="D6" s="1"/>
  <c r="P21" i="3"/>
  <c r="Q21" s="1"/>
  <c r="D20" i="2"/>
  <c r="L23" i="3"/>
  <c r="K24" s="1"/>
  <c r="C23" i="2"/>
  <c r="D12" i="15"/>
  <c r="N12" i="8" s="1"/>
  <c r="B13" i="15"/>
  <c r="D22" i="17"/>
  <c r="I21" i="8" s="1"/>
  <c r="B23" i="17"/>
  <c r="C23" s="1"/>
  <c r="D12" i="13"/>
  <c r="G12" i="8" s="1"/>
  <c r="B13" i="13"/>
  <c r="D13" i="14"/>
  <c r="F12" i="8" s="1"/>
  <c r="B14" i="14"/>
  <c r="C14" i="11"/>
  <c r="E21" i="10"/>
  <c r="D21" i="8" s="1"/>
  <c r="C22" i="10"/>
  <c r="D22" s="1"/>
  <c r="E20" i="9"/>
  <c r="C20" i="8" s="1"/>
  <c r="C21" i="9"/>
  <c r="D21" s="1"/>
  <c r="G11" i="4"/>
  <c r="C10" i="18" s="1"/>
  <c r="B23" i="6"/>
  <c r="C22"/>
  <c r="D22" s="1"/>
  <c r="G23" i="2" s="1"/>
  <c r="E6" i="20" l="1"/>
  <c r="D12" i="4"/>
  <c r="F12" s="1"/>
  <c r="E11" i="2" s="1"/>
  <c r="P22" i="3"/>
  <c r="Q22" s="1"/>
  <c r="D21" i="2"/>
  <c r="L24" i="3"/>
  <c r="K25" s="1"/>
  <c r="C24" i="2"/>
  <c r="C13" i="15"/>
  <c r="D23" i="17"/>
  <c r="I22" i="8" s="1"/>
  <c r="B24" i="17"/>
  <c r="C24" s="1"/>
  <c r="C13" i="13"/>
  <c r="C14" i="14"/>
  <c r="D14" i="11"/>
  <c r="E12" i="8" s="1"/>
  <c r="B15" i="11"/>
  <c r="E22" i="10"/>
  <c r="D22" i="8" s="1"/>
  <c r="C23" i="10"/>
  <c r="D23" s="1"/>
  <c r="E21" i="9"/>
  <c r="C21" i="8" s="1"/>
  <c r="C22" i="9"/>
  <c r="D22" s="1"/>
  <c r="B24" i="6"/>
  <c r="C23"/>
  <c r="D23" s="1"/>
  <c r="G24" i="2" s="1"/>
  <c r="F6" i="20" l="1"/>
  <c r="D5" i="7" s="1"/>
  <c r="E5" s="1"/>
  <c r="F7" i="1"/>
  <c r="G5" i="7"/>
  <c r="H6" i="2" s="1"/>
  <c r="J6" s="1"/>
  <c r="K6" s="1"/>
  <c r="P23" i="3"/>
  <c r="Q23" s="1"/>
  <c r="D22" i="2"/>
  <c r="L25" i="3"/>
  <c r="K26" s="1"/>
  <c r="C25" i="2"/>
  <c r="D13" i="15"/>
  <c r="N13" i="8" s="1"/>
  <c r="B14" i="15"/>
  <c r="D24" i="17"/>
  <c r="I23" i="8" s="1"/>
  <c r="B25" i="17"/>
  <c r="C25" s="1"/>
  <c r="D13" i="13"/>
  <c r="G13" i="8" s="1"/>
  <c r="B14" i="13"/>
  <c r="D14" i="14"/>
  <c r="F13" i="8" s="1"/>
  <c r="B15" i="14"/>
  <c r="C15" i="11"/>
  <c r="E23" i="10"/>
  <c r="D23" i="8" s="1"/>
  <c r="C24" i="10"/>
  <c r="D24" s="1"/>
  <c r="E22" i="9"/>
  <c r="C22" i="8" s="1"/>
  <c r="C23" i="9"/>
  <c r="D23" s="1"/>
  <c r="B25" i="6"/>
  <c r="C24"/>
  <c r="D24" s="1"/>
  <c r="G25" i="2" s="1"/>
  <c r="G12" i="4"/>
  <c r="C7" i="1" l="1"/>
  <c r="B7" i="21"/>
  <c r="D7" s="1"/>
  <c r="H5" i="7"/>
  <c r="B6" s="1"/>
  <c r="P24" i="3"/>
  <c r="Q24" s="1"/>
  <c r="D23" i="2"/>
  <c r="L26" i="3"/>
  <c r="K27" s="1"/>
  <c r="C26" i="2"/>
  <c r="C14" i="15"/>
  <c r="D25" i="17"/>
  <c r="I24" i="8" s="1"/>
  <c r="B26" i="17"/>
  <c r="C26" s="1"/>
  <c r="C14" i="13"/>
  <c r="C15" i="14"/>
  <c r="D15" i="11"/>
  <c r="E13" i="8" s="1"/>
  <c r="B16" i="11"/>
  <c r="E24" i="10"/>
  <c r="D24" i="8" s="1"/>
  <c r="C25" i="10"/>
  <c r="D25" s="1"/>
  <c r="E23" i="9"/>
  <c r="C23" i="8" s="1"/>
  <c r="C24" i="9"/>
  <c r="D24" s="1"/>
  <c r="C11" i="18"/>
  <c r="D13" i="4"/>
  <c r="C25" i="6"/>
  <c r="D25" s="1"/>
  <c r="G26" i="2" s="1"/>
  <c r="B26" i="6"/>
  <c r="D7" i="18" l="1"/>
  <c r="F7" i="21"/>
  <c r="E7"/>
  <c r="L6" i="8" s="1"/>
  <c r="O6" s="1"/>
  <c r="P25" i="3"/>
  <c r="Q25" s="1"/>
  <c r="D24" i="2"/>
  <c r="L27" i="3"/>
  <c r="K28" s="1"/>
  <c r="C27" i="2"/>
  <c r="D14" i="15"/>
  <c r="N14" i="8" s="1"/>
  <c r="B15" i="15"/>
  <c r="D26" i="17"/>
  <c r="I25" i="8" s="1"/>
  <c r="B27" i="17"/>
  <c r="C27" s="1"/>
  <c r="D14" i="13"/>
  <c r="G14" i="8" s="1"/>
  <c r="B15" i="13"/>
  <c r="D15" i="14"/>
  <c r="F14" i="8" s="1"/>
  <c r="B16" i="14"/>
  <c r="C16" i="11"/>
  <c r="E25" i="10"/>
  <c r="D25" i="8" s="1"/>
  <c r="C26" i="10"/>
  <c r="D26" s="1"/>
  <c r="E24" i="9"/>
  <c r="C24" i="8" s="1"/>
  <c r="C25" i="9"/>
  <c r="D25" s="1"/>
  <c r="B27" i="6"/>
  <c r="C26"/>
  <c r="D26" s="1"/>
  <c r="G27" i="2" s="1"/>
  <c r="F13" i="4"/>
  <c r="E12" i="2" s="1"/>
  <c r="D7" i="1" l="1"/>
  <c r="P6" i="8"/>
  <c r="G7" i="18"/>
  <c r="I7"/>
  <c r="P26" i="3"/>
  <c r="Q26" s="1"/>
  <c r="D25" i="2"/>
  <c r="L28" i="3"/>
  <c r="K29" s="1"/>
  <c r="C28" i="2"/>
  <c r="C15" i="15"/>
  <c r="D27" i="17"/>
  <c r="I26" i="8" s="1"/>
  <c r="B28" i="17"/>
  <c r="C28" s="1"/>
  <c r="C15" i="13"/>
  <c r="C16" i="14"/>
  <c r="D16" i="11"/>
  <c r="E14" i="8" s="1"/>
  <c r="B17" i="11"/>
  <c r="E26" i="10"/>
  <c r="D26" i="8" s="1"/>
  <c r="C27" i="10"/>
  <c r="D27" s="1"/>
  <c r="E25" i="9"/>
  <c r="C25" i="8" s="1"/>
  <c r="C26" i="9"/>
  <c r="D26" s="1"/>
  <c r="G13" i="4"/>
  <c r="C12" i="18" s="1"/>
  <c r="C27" i="6"/>
  <c r="D27" s="1"/>
  <c r="G28" i="2" s="1"/>
  <c r="B28" i="6"/>
  <c r="E7" i="1" l="1"/>
  <c r="B7" i="20"/>
  <c r="D7" s="1"/>
  <c r="P27" i="3"/>
  <c r="Q27" s="1"/>
  <c r="D26" i="2"/>
  <c r="L29" i="3"/>
  <c r="K30" s="1"/>
  <c r="C29" i="2"/>
  <c r="D15" i="15"/>
  <c r="N15" i="8" s="1"/>
  <c r="B16" i="15"/>
  <c r="D28" i="17"/>
  <c r="I27" i="8" s="1"/>
  <c r="B29" i="17"/>
  <c r="C29" s="1"/>
  <c r="D15" i="13"/>
  <c r="G15" i="8" s="1"/>
  <c r="B16" i="13"/>
  <c r="D16" i="14"/>
  <c r="F15" i="8" s="1"/>
  <c r="B17" i="14"/>
  <c r="C17" i="11"/>
  <c r="E27" i="10"/>
  <c r="D27" i="8" s="1"/>
  <c r="C28" i="10"/>
  <c r="D28" s="1"/>
  <c r="E26" i="9"/>
  <c r="C26" i="8" s="1"/>
  <c r="C27" i="9"/>
  <c r="D27" s="1"/>
  <c r="D14" i="4"/>
  <c r="F14" s="1"/>
  <c r="E13" i="2" s="1"/>
  <c r="B29" i="6"/>
  <c r="C28"/>
  <c r="D28" s="1"/>
  <c r="G29" i="2" s="1"/>
  <c r="E7" i="20" l="1"/>
  <c r="P28" i="3"/>
  <c r="Q28" s="1"/>
  <c r="D27" i="2"/>
  <c r="L30" i="3"/>
  <c r="K31" s="1"/>
  <c r="C30" i="2"/>
  <c r="C16" i="15"/>
  <c r="D29" i="17"/>
  <c r="I28" i="8" s="1"/>
  <c r="B30" i="17"/>
  <c r="C30" s="1"/>
  <c r="C16" i="13"/>
  <c r="C17" i="14"/>
  <c r="D17" i="11"/>
  <c r="E15" i="8" s="1"/>
  <c r="B18" i="11"/>
  <c r="E28" i="10"/>
  <c r="D28" i="8" s="1"/>
  <c r="C29" i="10"/>
  <c r="D29" s="1"/>
  <c r="E27" i="9"/>
  <c r="C27" i="8" s="1"/>
  <c r="C28" i="9"/>
  <c r="D28" s="1"/>
  <c r="G14" i="4"/>
  <c r="C13" i="18" s="1"/>
  <c r="B30" i="6"/>
  <c r="C29"/>
  <c r="D29" s="1"/>
  <c r="G30" i="2" s="1"/>
  <c r="F7" i="20" l="1"/>
  <c r="D6" i="7" s="1"/>
  <c r="E6" s="1"/>
  <c r="F8" i="1"/>
  <c r="G6" i="7"/>
  <c r="H7" i="2" s="1"/>
  <c r="J7" s="1"/>
  <c r="K7" s="1"/>
  <c r="P29" i="3"/>
  <c r="Q29" s="1"/>
  <c r="D28" i="2"/>
  <c r="L31" i="3"/>
  <c r="K32" s="1"/>
  <c r="C31" i="2"/>
  <c r="D16" i="15"/>
  <c r="N16" i="8" s="1"/>
  <c r="B17" i="15"/>
  <c r="D30" i="17"/>
  <c r="I29" i="8" s="1"/>
  <c r="B31" i="17"/>
  <c r="C31" s="1"/>
  <c r="D16" i="13"/>
  <c r="G16" i="8" s="1"/>
  <c r="B17" i="13"/>
  <c r="D17" i="14"/>
  <c r="F16" i="8" s="1"/>
  <c r="B18" i="14"/>
  <c r="C18" i="11"/>
  <c r="E29" i="10"/>
  <c r="D29" i="8" s="1"/>
  <c r="C30" i="10"/>
  <c r="D30" s="1"/>
  <c r="E28" i="9"/>
  <c r="C28" i="8" s="1"/>
  <c r="C29" i="9"/>
  <c r="D29" s="1"/>
  <c r="D15" i="4"/>
  <c r="F15" s="1"/>
  <c r="E14" i="2" s="1"/>
  <c r="C30" i="6"/>
  <c r="D30" s="1"/>
  <c r="G31" i="2" s="1"/>
  <c r="B31" i="6"/>
  <c r="C8" i="1" l="1"/>
  <c r="B8" i="21"/>
  <c r="D8" s="1"/>
  <c r="H6" i="7"/>
  <c r="B7" s="1"/>
  <c r="P30" i="3"/>
  <c r="Q30" s="1"/>
  <c r="D29" i="2"/>
  <c r="L32" i="3"/>
  <c r="K33" s="1"/>
  <c r="C32" i="2"/>
  <c r="C17" i="15"/>
  <c r="D31" i="17"/>
  <c r="I30" i="8" s="1"/>
  <c r="B32" i="17"/>
  <c r="C32" s="1"/>
  <c r="C17" i="13"/>
  <c r="C18" i="14"/>
  <c r="D18" i="11"/>
  <c r="E16" i="8" s="1"/>
  <c r="B19" i="11"/>
  <c r="E30" i="10"/>
  <c r="D30" i="8" s="1"/>
  <c r="C31" i="10"/>
  <c r="D31" s="1"/>
  <c r="E29" i="9"/>
  <c r="C29" i="8" s="1"/>
  <c r="C30" i="9"/>
  <c r="D30" s="1"/>
  <c r="G15" i="4"/>
  <c r="D16" s="1"/>
  <c r="C31" i="6"/>
  <c r="D31" s="1"/>
  <c r="G32" i="2" s="1"/>
  <c r="B32" i="6"/>
  <c r="D8" i="18" l="1"/>
  <c r="F8" i="21"/>
  <c r="E8"/>
  <c r="L7" i="8" s="1"/>
  <c r="O7" s="1"/>
  <c r="P31" i="3"/>
  <c r="Q31" s="1"/>
  <c r="D30" i="2"/>
  <c r="L33" i="3"/>
  <c r="K34" s="1"/>
  <c r="C33" i="2"/>
  <c r="C14" i="18"/>
  <c r="D17" i="15"/>
  <c r="N17" i="8" s="1"/>
  <c r="B18" i="15"/>
  <c r="D32" i="17"/>
  <c r="I31" i="8" s="1"/>
  <c r="B33" i="17"/>
  <c r="C33" s="1"/>
  <c r="D17" i="13"/>
  <c r="G17" i="8" s="1"/>
  <c r="B18" i="13"/>
  <c r="D18" i="14"/>
  <c r="F17" i="8" s="1"/>
  <c r="B19" i="14"/>
  <c r="C19" i="11"/>
  <c r="E31" i="10"/>
  <c r="D31" i="8" s="1"/>
  <c r="C32" i="10"/>
  <c r="D32" s="1"/>
  <c r="E30" i="9"/>
  <c r="C30" i="8" s="1"/>
  <c r="C31" i="9"/>
  <c r="D31" s="1"/>
  <c r="F16" i="4"/>
  <c r="E15" i="2" s="1"/>
  <c r="C32" i="6"/>
  <c r="D32" s="1"/>
  <c r="G33" i="2" s="1"/>
  <c r="B33" i="6"/>
  <c r="D8" i="1" l="1"/>
  <c r="P7" i="8"/>
  <c r="G8" i="18"/>
  <c r="I8"/>
  <c r="P32" i="3"/>
  <c r="Q32" s="1"/>
  <c r="D31" i="2"/>
  <c r="L34" i="3"/>
  <c r="K35" s="1"/>
  <c r="C34" i="2"/>
  <c r="C18" i="15"/>
  <c r="D33" i="17"/>
  <c r="I32" i="8" s="1"/>
  <c r="B34" i="17"/>
  <c r="C34" s="1"/>
  <c r="C18" i="13"/>
  <c r="C19" i="14"/>
  <c r="D19" i="11"/>
  <c r="E17" i="8" s="1"/>
  <c r="B20" i="11"/>
  <c r="E32" i="10"/>
  <c r="D32" i="8" s="1"/>
  <c r="C33" i="10"/>
  <c r="D33" s="1"/>
  <c r="E31" i="9"/>
  <c r="C31" i="8" s="1"/>
  <c r="C32" i="9"/>
  <c r="D32" s="1"/>
  <c r="C33" i="6"/>
  <c r="D33" s="1"/>
  <c r="G34" i="2" s="1"/>
  <c r="B34" i="6"/>
  <c r="G16" i="4"/>
  <c r="E8" i="1" l="1"/>
  <c r="B8" i="20"/>
  <c r="D8" s="1"/>
  <c r="P33" i="3"/>
  <c r="Q33" s="1"/>
  <c r="D32" i="2"/>
  <c r="L35" i="3"/>
  <c r="K36" s="1"/>
  <c r="C35" i="2"/>
  <c r="D18" i="15"/>
  <c r="N18" i="8" s="1"/>
  <c r="B19" i="15"/>
  <c r="D34" i="17"/>
  <c r="I33" i="8" s="1"/>
  <c r="B35" i="17"/>
  <c r="C35" s="1"/>
  <c r="D18" i="13"/>
  <c r="G18" i="8" s="1"/>
  <c r="B19" i="13"/>
  <c r="D19" i="14"/>
  <c r="F18" i="8" s="1"/>
  <c r="B20" i="14"/>
  <c r="C20" i="11"/>
  <c r="E33" i="10"/>
  <c r="D33" i="8" s="1"/>
  <c r="C34" i="10"/>
  <c r="D34" s="1"/>
  <c r="E32" i="9"/>
  <c r="C32" i="8" s="1"/>
  <c r="C33" i="9"/>
  <c r="D33" s="1"/>
  <c r="C34" i="6"/>
  <c r="D34" s="1"/>
  <c r="G35" i="2" s="1"/>
  <c r="B35" i="6"/>
  <c r="C15" i="18"/>
  <c r="D17" i="4"/>
  <c r="E8" i="20" l="1"/>
  <c r="P34" i="3"/>
  <c r="Q34" s="1"/>
  <c r="D33" i="2"/>
  <c r="L36" i="3"/>
  <c r="K37" s="1"/>
  <c r="C36" i="2"/>
  <c r="C19" i="15"/>
  <c r="D35" i="17"/>
  <c r="I34" i="8" s="1"/>
  <c r="B36" i="17"/>
  <c r="C36" s="1"/>
  <c r="C19" i="13"/>
  <c r="C20" i="14"/>
  <c r="D20" i="11"/>
  <c r="E18" i="8" s="1"/>
  <c r="B21" i="11"/>
  <c r="E34" i="10"/>
  <c r="D34" i="8" s="1"/>
  <c r="C35" i="10"/>
  <c r="D35" s="1"/>
  <c r="E33" i="9"/>
  <c r="C33" i="8" s="1"/>
  <c r="C34" i="9"/>
  <c r="D34" s="1"/>
  <c r="F17" i="4"/>
  <c r="E16" i="2" s="1"/>
  <c r="B36" i="6"/>
  <c r="C35"/>
  <c r="D35" s="1"/>
  <c r="G36" i="2" s="1"/>
  <c r="F8" i="20" l="1"/>
  <c r="D7" i="7" s="1"/>
  <c r="E7" s="1"/>
  <c r="F9" i="1"/>
  <c r="G7" i="7"/>
  <c r="H8" i="2" s="1"/>
  <c r="J8" s="1"/>
  <c r="K8" s="1"/>
  <c r="P35" i="3"/>
  <c r="Q35" s="1"/>
  <c r="D34" i="2"/>
  <c r="L37" i="3"/>
  <c r="C37" i="2"/>
  <c r="D19" i="15"/>
  <c r="N19" i="8" s="1"/>
  <c r="B20" i="15"/>
  <c r="D36" i="17"/>
  <c r="I35" i="8" s="1"/>
  <c r="B37" i="17"/>
  <c r="C37" s="1"/>
  <c r="D19" i="13"/>
  <c r="G19" i="8" s="1"/>
  <c r="B20" i="13"/>
  <c r="D20" i="14"/>
  <c r="F19" i="8" s="1"/>
  <c r="B21" i="14"/>
  <c r="C21" i="11"/>
  <c r="E35" i="10"/>
  <c r="D35" i="8" s="1"/>
  <c r="C36" i="10"/>
  <c r="D36" s="1"/>
  <c r="E34" i="9"/>
  <c r="C34" i="8" s="1"/>
  <c r="C35" i="9"/>
  <c r="D35" s="1"/>
  <c r="G17" i="4"/>
  <c r="C36" i="6"/>
  <c r="D36" s="1"/>
  <c r="G37" i="2" s="1"/>
  <c r="C9" i="1" l="1"/>
  <c r="B9" i="21"/>
  <c r="D9" s="1"/>
  <c r="H7" i="7"/>
  <c r="B8" s="1"/>
  <c r="P36" i="3"/>
  <c r="Q36" s="1"/>
  <c r="D35" i="2"/>
  <c r="C20" i="15"/>
  <c r="D37" i="17"/>
  <c r="I36" i="8" s="1"/>
  <c r="B38" i="17"/>
  <c r="C20" i="13"/>
  <c r="C21" i="14"/>
  <c r="D21" i="11"/>
  <c r="E19" i="8" s="1"/>
  <c r="B22" i="11"/>
  <c r="E36" i="10"/>
  <c r="D36" i="8" s="1"/>
  <c r="C37" i="10"/>
  <c r="E35" i="9"/>
  <c r="C35" i="8" s="1"/>
  <c r="C36" i="9"/>
  <c r="D36" s="1"/>
  <c r="C16" i="18"/>
  <c r="D18" i="4"/>
  <c r="D9" i="18" l="1"/>
  <c r="F9" i="21"/>
  <c r="E9"/>
  <c r="L8" i="8" s="1"/>
  <c r="O8" s="1"/>
  <c r="P37" i="3"/>
  <c r="Q37" s="1"/>
  <c r="D37" i="2" s="1"/>
  <c r="D36"/>
  <c r="D20" i="15"/>
  <c r="N20" i="8" s="1"/>
  <c r="B21" i="15"/>
  <c r="C38" i="17"/>
  <c r="D38" s="1"/>
  <c r="I37" i="8" s="1"/>
  <c r="D20" i="13"/>
  <c r="G20" i="8" s="1"/>
  <c r="B21" i="13"/>
  <c r="D21" i="14"/>
  <c r="F20" i="8" s="1"/>
  <c r="B22" i="14"/>
  <c r="C22" i="11"/>
  <c r="D37" i="10"/>
  <c r="E37" s="1"/>
  <c r="E36" i="9"/>
  <c r="C36" i="8" s="1"/>
  <c r="C37" i="9"/>
  <c r="F18" i="4"/>
  <c r="E17" i="2" s="1"/>
  <c r="D37" i="8" l="1"/>
  <c r="E38" i="10"/>
  <c r="D9" i="1"/>
  <c r="P8" i="8"/>
  <c r="I9" i="18"/>
  <c r="G9"/>
  <c r="C21" i="15"/>
  <c r="C21" i="13"/>
  <c r="C22" i="14"/>
  <c r="D22" i="11"/>
  <c r="E20" i="8" s="1"/>
  <c r="B23" i="11"/>
  <c r="D37" i="9"/>
  <c r="E37" s="1"/>
  <c r="C37" i="8" s="1"/>
  <c r="G18" i="4"/>
  <c r="D19" s="1"/>
  <c r="E9" i="1" l="1"/>
  <c r="B9" i="20"/>
  <c r="D9" s="1"/>
  <c r="C17" i="18"/>
  <c r="D21" i="15"/>
  <c r="N21" i="8" s="1"/>
  <c r="B22" i="15"/>
  <c r="D21" i="13"/>
  <c r="G21" i="8" s="1"/>
  <c r="B22" i="13"/>
  <c r="D22" i="14"/>
  <c r="F21" i="8" s="1"/>
  <c r="B23" i="14"/>
  <c r="C23" i="11"/>
  <c r="F19" i="4"/>
  <c r="E18" i="2" s="1"/>
  <c r="E9" i="20" l="1"/>
  <c r="C22" i="15"/>
  <c r="C22" i="13"/>
  <c r="C23" i="14"/>
  <c r="D23" i="11"/>
  <c r="E21" i="8" s="1"/>
  <c r="B24" i="11"/>
  <c r="G19" i="4"/>
  <c r="F9" i="20" l="1"/>
  <c r="D8" i="7" s="1"/>
  <c r="E8" s="1"/>
  <c r="G8" s="1"/>
  <c r="H9" i="2" s="1"/>
  <c r="J9" s="1"/>
  <c r="K9" s="1"/>
  <c r="F10" i="1"/>
  <c r="D22" i="15"/>
  <c r="N22" i="8" s="1"/>
  <c r="B23" i="15"/>
  <c r="D22" i="13"/>
  <c r="G22" i="8" s="1"/>
  <c r="B23" i="13"/>
  <c r="D23" i="14"/>
  <c r="F22" i="8" s="1"/>
  <c r="B24" i="14"/>
  <c r="C24" i="11"/>
  <c r="C18" i="18"/>
  <c r="D20" i="4"/>
  <c r="B10" i="21" l="1"/>
  <c r="D10" s="1"/>
  <c r="C10" i="1"/>
  <c r="H8" i="7"/>
  <c r="B9" s="1"/>
  <c r="C23" i="15"/>
  <c r="C23" i="13"/>
  <c r="C24" i="14"/>
  <c r="D24" i="11"/>
  <c r="E22" i="8" s="1"/>
  <c r="B25" i="11"/>
  <c r="F20" i="4"/>
  <c r="E19" i="2" s="1"/>
  <c r="D10" i="18" l="1"/>
  <c r="F10" i="21"/>
  <c r="E10"/>
  <c r="L9" i="8" s="1"/>
  <c r="O9" s="1"/>
  <c r="D23" i="15"/>
  <c r="N23" i="8" s="1"/>
  <c r="B24" i="15"/>
  <c r="D23" i="13"/>
  <c r="G23" i="8" s="1"/>
  <c r="B24" i="13"/>
  <c r="D24" i="14"/>
  <c r="F23" i="8" s="1"/>
  <c r="B25" i="14"/>
  <c r="C25" i="11"/>
  <c r="G20" i="4"/>
  <c r="D21" s="1"/>
  <c r="C19" i="18" l="1"/>
  <c r="I10"/>
  <c r="G10"/>
  <c r="P9" i="8"/>
  <c r="D10" i="1"/>
  <c r="C24" i="15"/>
  <c r="C24" i="13"/>
  <c r="C25" i="14"/>
  <c r="D25" i="11"/>
  <c r="E23" i="8" s="1"/>
  <c r="B26" i="11"/>
  <c r="F21" i="4"/>
  <c r="E20" i="2" s="1"/>
  <c r="E10" i="1" l="1"/>
  <c r="B10" i="20"/>
  <c r="D10" s="1"/>
  <c r="D24" i="15"/>
  <c r="N24" i="8" s="1"/>
  <c r="B25" i="15"/>
  <c r="D24" i="13"/>
  <c r="G24" i="8" s="1"/>
  <c r="B25" i="13"/>
  <c r="D25" i="14"/>
  <c r="F24" i="8" s="1"/>
  <c r="B26" i="14"/>
  <c r="C26" i="11"/>
  <c r="G21" i="4"/>
  <c r="C20" i="18" s="1"/>
  <c r="E10" i="20" l="1"/>
  <c r="C25" i="15"/>
  <c r="C25" i="13"/>
  <c r="C26" i="14"/>
  <c r="D26" i="11"/>
  <c r="E24" i="8" s="1"/>
  <c r="B27" i="11"/>
  <c r="D22" i="4"/>
  <c r="F22" s="1"/>
  <c r="E21" i="2" s="1"/>
  <c r="F10" i="20" l="1"/>
  <c r="D9" i="7" s="1"/>
  <c r="E9" s="1"/>
  <c r="F11" i="1"/>
  <c r="G9" i="7"/>
  <c r="H10" i="2" s="1"/>
  <c r="J10" s="1"/>
  <c r="K10" s="1"/>
  <c r="D25" i="15"/>
  <c r="N25" i="8" s="1"/>
  <c r="B26" i="15"/>
  <c r="D25" i="13"/>
  <c r="G25" i="8" s="1"/>
  <c r="B26" i="13"/>
  <c r="D26" i="14"/>
  <c r="F25" i="8" s="1"/>
  <c r="B27" i="14"/>
  <c r="C27" i="11"/>
  <c r="G22" i="4"/>
  <c r="D23" s="1"/>
  <c r="B11" i="21" l="1"/>
  <c r="D11" s="1"/>
  <c r="C11" i="1"/>
  <c r="H9" i="7"/>
  <c r="B10" s="1"/>
  <c r="C26" i="15"/>
  <c r="C26" i="13"/>
  <c r="C27" i="14"/>
  <c r="D27" i="11"/>
  <c r="E25" i="8" s="1"/>
  <c r="B28" i="11"/>
  <c r="C21" i="18"/>
  <c r="F23" i="4"/>
  <c r="E22" i="2" s="1"/>
  <c r="D11" i="18" l="1"/>
  <c r="E11" i="21"/>
  <c r="L10" i="8" s="1"/>
  <c r="O10" s="1"/>
  <c r="F11" i="21"/>
  <c r="D26" i="15"/>
  <c r="N26" i="8" s="1"/>
  <c r="B27" i="15"/>
  <c r="D26" i="13"/>
  <c r="G26" i="8" s="1"/>
  <c r="B27" i="13"/>
  <c r="D27" i="14"/>
  <c r="F26" i="8" s="1"/>
  <c r="B28" i="14"/>
  <c r="C28" i="11"/>
  <c r="G23" i="4"/>
  <c r="I11" i="18" l="1"/>
  <c r="G11"/>
  <c r="D11" i="1"/>
  <c r="P10" i="8"/>
  <c r="C27" i="15"/>
  <c r="C27" i="13"/>
  <c r="C28" i="14"/>
  <c r="D28" i="11"/>
  <c r="E26" i="8" s="1"/>
  <c r="B29" i="11"/>
  <c r="D24" i="4"/>
  <c r="C22" i="18"/>
  <c r="B11" i="20" l="1"/>
  <c r="D11" s="1"/>
  <c r="E11" i="1"/>
  <c r="D27" i="15"/>
  <c r="N27" i="8" s="1"/>
  <c r="B28" i="15"/>
  <c r="D27" i="13"/>
  <c r="G27" i="8" s="1"/>
  <c r="B28" i="13"/>
  <c r="D28" i="14"/>
  <c r="F27" i="8" s="1"/>
  <c r="B29" i="14"/>
  <c r="C29" i="11"/>
  <c r="F24" i="4"/>
  <c r="E23" i="2" s="1"/>
  <c r="E11" i="20" l="1"/>
  <c r="C28" i="15"/>
  <c r="C28" i="13"/>
  <c r="C29" i="14"/>
  <c r="D29" i="11"/>
  <c r="E27" i="8" s="1"/>
  <c r="B30" i="11"/>
  <c r="G24" i="4"/>
  <c r="F11" i="20" l="1"/>
  <c r="D10" i="7" s="1"/>
  <c r="E10" s="1"/>
  <c r="G10" s="1"/>
  <c r="H11" i="2" s="1"/>
  <c r="J11" s="1"/>
  <c r="K11" s="1"/>
  <c r="F12" i="1"/>
  <c r="D28" i="15"/>
  <c r="N28" i="8" s="1"/>
  <c r="B29" i="15"/>
  <c r="D28" i="13"/>
  <c r="G28" i="8" s="1"/>
  <c r="B29" i="13"/>
  <c r="D29" i="14"/>
  <c r="F28" i="8" s="1"/>
  <c r="B30" i="14"/>
  <c r="C30" i="11"/>
  <c r="D25" i="4"/>
  <c r="C23" i="18"/>
  <c r="B12" i="21" l="1"/>
  <c r="D12" s="1"/>
  <c r="C12" i="1"/>
  <c r="H10" i="7"/>
  <c r="B11" s="1"/>
  <c r="C29" i="15"/>
  <c r="C29" i="13"/>
  <c r="C30" i="14"/>
  <c r="D30" i="11"/>
  <c r="E28" i="8" s="1"/>
  <c r="B31" i="11"/>
  <c r="F25" i="4"/>
  <c r="E24" i="2" s="1"/>
  <c r="D12" i="18" l="1"/>
  <c r="F12" i="21"/>
  <c r="E12"/>
  <c r="L11" i="8" s="1"/>
  <c r="O11" s="1"/>
  <c r="G25" i="4"/>
  <c r="C24" i="18" s="1"/>
  <c r="D29" i="15"/>
  <c r="N29" i="8" s="1"/>
  <c r="B30" i="15"/>
  <c r="D29" i="13"/>
  <c r="G29" i="8" s="1"/>
  <c r="B30" i="13"/>
  <c r="D30" i="14"/>
  <c r="F29" i="8" s="1"/>
  <c r="B31" i="14"/>
  <c r="C31" i="11"/>
  <c r="D12" i="1" l="1"/>
  <c r="P11" i="8"/>
  <c r="G12" i="18"/>
  <c r="I12"/>
  <c r="D26" i="4"/>
  <c r="C30" i="15"/>
  <c r="C30" i="13"/>
  <c r="C31" i="14"/>
  <c r="D31" i="11"/>
  <c r="E29" i="8" s="1"/>
  <c r="B32" i="11"/>
  <c r="F26" i="4"/>
  <c r="E25" i="2" s="1"/>
  <c r="E12" i="1" l="1"/>
  <c r="B12" i="20"/>
  <c r="D12" s="1"/>
  <c r="D30" i="15"/>
  <c r="N30" i="8" s="1"/>
  <c r="B31" i="15"/>
  <c r="D30" i="13"/>
  <c r="G30" i="8" s="1"/>
  <c r="B31" i="13"/>
  <c r="D31" i="14"/>
  <c r="F30" i="8" s="1"/>
  <c r="B32" i="14"/>
  <c r="C32" i="11"/>
  <c r="G26" i="4"/>
  <c r="E12" i="20" l="1"/>
  <c r="C31" i="15"/>
  <c r="C31" i="13"/>
  <c r="C32" i="14"/>
  <c r="D32" i="11"/>
  <c r="E30" i="8" s="1"/>
  <c r="B33" i="11"/>
  <c r="D27" i="4"/>
  <c r="C25" i="18"/>
  <c r="F12" i="20" l="1"/>
  <c r="D11" i="7" s="1"/>
  <c r="E11" s="1"/>
  <c r="F13" i="1"/>
  <c r="G11" i="7"/>
  <c r="H12" i="2" s="1"/>
  <c r="J12" s="1"/>
  <c r="K12" s="1"/>
  <c r="D31" i="15"/>
  <c r="N31" i="8" s="1"/>
  <c r="B32" i="15"/>
  <c r="D31" i="13"/>
  <c r="G31" i="8" s="1"/>
  <c r="B32" i="13"/>
  <c r="D32" i="14"/>
  <c r="F31" i="8" s="1"/>
  <c r="B33" i="14"/>
  <c r="C33" i="11"/>
  <c r="F27" i="4"/>
  <c r="E26" i="2" s="1"/>
  <c r="B13" i="21" l="1"/>
  <c r="D13" s="1"/>
  <c r="C13" i="1"/>
  <c r="H11" i="7"/>
  <c r="B12" s="1"/>
  <c r="G27" i="4"/>
  <c r="D28" s="1"/>
  <c r="C32" i="15"/>
  <c r="C32" i="13"/>
  <c r="C33" i="14"/>
  <c r="D33" i="11"/>
  <c r="E31" i="8" s="1"/>
  <c r="B34" i="11"/>
  <c r="C26" i="18"/>
  <c r="D13" l="1"/>
  <c r="F13" i="21"/>
  <c r="E13"/>
  <c r="L12" i="8" s="1"/>
  <c r="O12" s="1"/>
  <c r="D32" i="15"/>
  <c r="N32" i="8" s="1"/>
  <c r="B33" i="15"/>
  <c r="D32" i="13"/>
  <c r="G32" i="8" s="1"/>
  <c r="B33" i="13"/>
  <c r="D33" i="14"/>
  <c r="F32" i="8" s="1"/>
  <c r="B34" i="14"/>
  <c r="C34" i="11"/>
  <c r="F28" i="4"/>
  <c r="E27" i="2" s="1"/>
  <c r="P12" i="8" l="1"/>
  <c r="D13" i="1"/>
  <c r="I13" i="18"/>
  <c r="G13"/>
  <c r="C33" i="15"/>
  <c r="C33" i="13"/>
  <c r="C34" i="14"/>
  <c r="D34" i="11"/>
  <c r="E32" i="8" s="1"/>
  <c r="B35" i="11"/>
  <c r="G28" i="4"/>
  <c r="E13" i="1" l="1"/>
  <c r="B13" i="20"/>
  <c r="D13" s="1"/>
  <c r="D33" i="15"/>
  <c r="N33" i="8" s="1"/>
  <c r="B34" i="15"/>
  <c r="D33" i="13"/>
  <c r="G33" i="8" s="1"/>
  <c r="B34" i="13"/>
  <c r="D34" i="14"/>
  <c r="F33" i="8" s="1"/>
  <c r="B35" i="14"/>
  <c r="C35" i="11"/>
  <c r="C27" i="18"/>
  <c r="D29" i="4"/>
  <c r="E13" i="20" l="1"/>
  <c r="C34" i="15"/>
  <c r="C34" i="13"/>
  <c r="C35" i="14"/>
  <c r="D35" i="11"/>
  <c r="E33" i="8" s="1"/>
  <c r="B36" i="11"/>
  <c r="F29" i="4"/>
  <c r="E28" i="2" s="1"/>
  <c r="F13" i="20" l="1"/>
  <c r="D12" i="7" s="1"/>
  <c r="E12" s="1"/>
  <c r="G12" s="1"/>
  <c r="H13" i="2" s="1"/>
  <c r="J13" s="1"/>
  <c r="K13" s="1"/>
  <c r="F14" i="1"/>
  <c r="D34" i="15"/>
  <c r="N34" i="8" s="1"/>
  <c r="B35" i="15"/>
  <c r="D34" i="13"/>
  <c r="G34" i="8" s="1"/>
  <c r="B35" i="13"/>
  <c r="D35" i="14"/>
  <c r="F34" i="8" s="1"/>
  <c r="B36" i="14"/>
  <c r="C36" i="11"/>
  <c r="G29" i="4"/>
  <c r="D30" s="1"/>
  <c r="B14" i="21" l="1"/>
  <c r="D14" s="1"/>
  <c r="C14" i="1"/>
  <c r="H12" i="7"/>
  <c r="B13" s="1"/>
  <c r="C28" i="18"/>
  <c r="C35" i="15"/>
  <c r="C35" i="13"/>
  <c r="C36" i="14"/>
  <c r="D36" i="11"/>
  <c r="E34" i="8" s="1"/>
  <c r="B37" i="11"/>
  <c r="F30" i="4"/>
  <c r="E29" i="2" s="1"/>
  <c r="D14" i="18" l="1"/>
  <c r="F14" i="21"/>
  <c r="E14"/>
  <c r="L13" i="8" s="1"/>
  <c r="O13" s="1"/>
  <c r="G30" i="4"/>
  <c r="C29" i="18" s="1"/>
  <c r="D35" i="15"/>
  <c r="N35" i="8" s="1"/>
  <c r="B36" i="15"/>
  <c r="D35" i="13"/>
  <c r="G35" i="8" s="1"/>
  <c r="B36" i="13"/>
  <c r="D36" i="14"/>
  <c r="F35" i="8" s="1"/>
  <c r="B37" i="14"/>
  <c r="C37" i="11"/>
  <c r="D31" i="4"/>
  <c r="D14" i="1" l="1"/>
  <c r="P13" i="8"/>
  <c r="I14" i="18"/>
  <c r="G14"/>
  <c r="C36" i="15"/>
  <c r="C36" i="13"/>
  <c r="C37" i="14"/>
  <c r="D37" i="11"/>
  <c r="E35" i="8" s="1"/>
  <c r="B38" i="11"/>
  <c r="F31" i="4"/>
  <c r="E30" i="2" s="1"/>
  <c r="E14" i="1" l="1"/>
  <c r="B14" i="20"/>
  <c r="D14" s="1"/>
  <c r="D36" i="15"/>
  <c r="N36" i="8" s="1"/>
  <c r="B37" i="15"/>
  <c r="D36" i="13"/>
  <c r="G36" i="8" s="1"/>
  <c r="B37" i="13"/>
  <c r="D37" i="14"/>
  <c r="F36" i="8" s="1"/>
  <c r="B38" i="14"/>
  <c r="C38" i="11"/>
  <c r="G31" i="4"/>
  <c r="E14" i="20" l="1"/>
  <c r="C37" i="15"/>
  <c r="D37" s="1"/>
  <c r="N37" i="8" s="1"/>
  <c r="C37" i="13"/>
  <c r="D37" s="1"/>
  <c r="G37" i="8" s="1"/>
  <c r="C38" i="14"/>
  <c r="D38" s="1"/>
  <c r="F37" i="8" s="1"/>
  <c r="D38" i="11"/>
  <c r="E36" i="8" s="1"/>
  <c r="B39" i="11"/>
  <c r="D32" i="4"/>
  <c r="C30" i="18"/>
  <c r="F14" i="20" l="1"/>
  <c r="D13" i="7" s="1"/>
  <c r="E13" s="1"/>
  <c r="G13" s="1"/>
  <c r="H14" i="2" s="1"/>
  <c r="J14" s="1"/>
  <c r="K14" s="1"/>
  <c r="F15" i="1"/>
  <c r="C39" i="11"/>
  <c r="D39" s="1"/>
  <c r="E37" i="8" s="1"/>
  <c r="F32" i="4"/>
  <c r="E31" i="2" s="1"/>
  <c r="C15" i="1" l="1"/>
  <c r="B15" i="21"/>
  <c r="D15" s="1"/>
  <c r="H13" i="7"/>
  <c r="B14" s="1"/>
  <c r="G32" i="4"/>
  <c r="C31" i="18" s="1"/>
  <c r="D15" l="1"/>
  <c r="E15" i="21"/>
  <c r="L14" i="8" s="1"/>
  <c r="O14" s="1"/>
  <c r="F15" i="21"/>
  <c r="D33" i="4"/>
  <c r="F33" s="1"/>
  <c r="E32" i="2" s="1"/>
  <c r="P14" i="8" l="1"/>
  <c r="D15" i="1"/>
  <c r="I15" i="18"/>
  <c r="G15"/>
  <c r="G33" i="4"/>
  <c r="E15" i="1" l="1"/>
  <c r="B15" i="20"/>
  <c r="D15" s="1"/>
  <c r="D34" i="4"/>
  <c r="C32" i="18"/>
  <c r="E15" i="20" l="1"/>
  <c r="F34" i="4"/>
  <c r="E33" i="2" s="1"/>
  <c r="F15" i="20" l="1"/>
  <c r="D14" i="7" s="1"/>
  <c r="E14" s="1"/>
  <c r="G14" s="1"/>
  <c r="H15" i="2" s="1"/>
  <c r="J15" s="1"/>
  <c r="K15" s="1"/>
  <c r="F16" i="1"/>
  <c r="G34" i="4"/>
  <c r="C16" i="1" l="1"/>
  <c r="B16" i="21"/>
  <c r="D16" s="1"/>
  <c r="H14" i="7"/>
  <c r="B15" s="1"/>
  <c r="C33" i="18"/>
  <c r="D35" i="4"/>
  <c r="D16" i="18" l="1"/>
  <c r="F16" i="21"/>
  <c r="E16"/>
  <c r="L15" i="8" s="1"/>
  <c r="O15" s="1"/>
  <c r="F35" i="4"/>
  <c r="E34" i="2" s="1"/>
  <c r="D16" i="1" l="1"/>
  <c r="P15" i="8"/>
  <c r="I16" i="18"/>
  <c r="G16"/>
  <c r="G35" i="4"/>
  <c r="E16" i="1" l="1"/>
  <c r="B16" i="20"/>
  <c r="D16" s="1"/>
  <c r="D36" i="4"/>
  <c r="C34" i="18"/>
  <c r="E16" i="20" l="1"/>
  <c r="F36" i="4"/>
  <c r="E35" i="2" s="1"/>
  <c r="F16" i="20" l="1"/>
  <c r="D15" i="7" s="1"/>
  <c r="E15" s="1"/>
  <c r="G15" s="1"/>
  <c r="H16" i="2" s="1"/>
  <c r="J16" s="1"/>
  <c r="K16" s="1"/>
  <c r="F17" i="1"/>
  <c r="G36" i="4"/>
  <c r="B17" i="21" l="1"/>
  <c r="D17" s="1"/>
  <c r="C17" i="1"/>
  <c r="H15" i="7"/>
  <c r="B16" s="1"/>
  <c r="C35" i="18"/>
  <c r="D37" i="4"/>
  <c r="D17" i="18" l="1"/>
  <c r="E17" i="21"/>
  <c r="L16" i="8" s="1"/>
  <c r="O16" s="1"/>
  <c r="F17" i="21"/>
  <c r="F37" i="4"/>
  <c r="E36" i="2" s="1"/>
  <c r="P16" i="8" l="1"/>
  <c r="D17" i="1"/>
  <c r="G17" i="18"/>
  <c r="I17"/>
  <c r="G37" i="4"/>
  <c r="E17" i="1" l="1"/>
  <c r="B17" i="20"/>
  <c r="D17" s="1"/>
  <c r="D38" i="4"/>
  <c r="C36" i="18"/>
  <c r="E17" i="20" l="1"/>
  <c r="F38" i="4"/>
  <c r="E37" i="2" s="1"/>
  <c r="F17" i="20" l="1"/>
  <c r="D16" i="7" s="1"/>
  <c r="E16" s="1"/>
  <c r="G16" s="1"/>
  <c r="H17" i="2" s="1"/>
  <c r="J17" s="1"/>
  <c r="K17" s="1"/>
  <c r="F18" i="1"/>
  <c r="G38" i="4"/>
  <c r="C37" i="18" s="1"/>
  <c r="C18" i="1" l="1"/>
  <c r="B18" i="21"/>
  <c r="D18" s="1"/>
  <c r="H16" i="7"/>
  <c r="B17" s="1"/>
  <c r="D18" i="18" l="1"/>
  <c r="F18" i="21"/>
  <c r="E18"/>
  <c r="L17" i="8" s="1"/>
  <c r="O17" s="1"/>
  <c r="P17" l="1"/>
  <c r="D18" i="1"/>
  <c r="G18" i="18"/>
  <c r="I18"/>
  <c r="E18" i="1" l="1"/>
  <c r="B18" i="20"/>
  <c r="D18" s="1"/>
  <c r="E18" l="1"/>
  <c r="F18" l="1"/>
  <c r="D17" i="7" s="1"/>
  <c r="E17" s="1"/>
  <c r="G17" s="1"/>
  <c r="H18" i="2" s="1"/>
  <c r="J18" s="1"/>
  <c r="K18" s="1"/>
  <c r="F19" i="1"/>
  <c r="B19" i="21" l="1"/>
  <c r="D19" s="1"/>
  <c r="C19" i="1"/>
  <c r="H17" i="7"/>
  <c r="B18" s="1"/>
  <c r="D19" i="18" l="1"/>
  <c r="F19" i="21"/>
  <c r="E19"/>
  <c r="L18" i="8" s="1"/>
  <c r="O18" s="1"/>
  <c r="D19" i="1" l="1"/>
  <c r="P18" i="8"/>
  <c r="I19" i="18"/>
  <c r="G19"/>
  <c r="E19" i="1" l="1"/>
  <c r="B19" i="20"/>
  <c r="D19" s="1"/>
  <c r="E19" l="1"/>
  <c r="F19" l="1"/>
  <c r="D18" i="7" s="1"/>
  <c r="E18" s="1"/>
  <c r="G18" s="1"/>
  <c r="H19" i="2" s="1"/>
  <c r="J19" s="1"/>
  <c r="K19" s="1"/>
  <c r="F20" i="1"/>
  <c r="B20" i="21" l="1"/>
  <c r="D20" s="1"/>
  <c r="C20" i="1"/>
  <c r="H18" i="7"/>
  <c r="B19" s="1"/>
  <c r="D20" i="18" l="1"/>
  <c r="E20" i="21"/>
  <c r="L19" i="8" s="1"/>
  <c r="O19" s="1"/>
  <c r="F20" i="21"/>
  <c r="D20" i="1" l="1"/>
  <c r="P19" i="8"/>
  <c r="I20" i="18"/>
  <c r="G20"/>
  <c r="E20" i="1" l="1"/>
  <c r="B20" i="20"/>
  <c r="D20" s="1"/>
  <c r="E20" l="1"/>
  <c r="F20" l="1"/>
  <c r="D19" i="7" s="1"/>
  <c r="E19" s="1"/>
  <c r="G19" s="1"/>
  <c r="H20" i="2" s="1"/>
  <c r="J20" s="1"/>
  <c r="K20" s="1"/>
  <c r="F21" i="1"/>
  <c r="C21" l="1"/>
  <c r="B21" i="21"/>
  <c r="D21" s="1"/>
  <c r="H19" i="7"/>
  <c r="B20" s="1"/>
  <c r="D21" i="18" l="1"/>
  <c r="F21" i="21"/>
  <c r="E21"/>
  <c r="L20" i="8" s="1"/>
  <c r="O20" s="1"/>
  <c r="P20" l="1"/>
  <c r="D21" i="1"/>
  <c r="I21" i="18"/>
  <c r="G21"/>
  <c r="E21" i="1" l="1"/>
  <c r="B21" i="20"/>
  <c r="D21" s="1"/>
  <c r="E21" l="1"/>
  <c r="F21" l="1"/>
  <c r="D20" i="7" s="1"/>
  <c r="E20" s="1"/>
  <c r="G20" s="1"/>
  <c r="H21" i="2" s="1"/>
  <c r="J21" s="1"/>
  <c r="K21" s="1"/>
  <c r="F22" i="1"/>
  <c r="B22" i="21" l="1"/>
  <c r="D22" s="1"/>
  <c r="C22" i="1"/>
  <c r="H20" i="7"/>
  <c r="B21" s="1"/>
  <c r="D22" i="18" l="1"/>
  <c r="F22" i="21"/>
  <c r="E22"/>
  <c r="L21" i="8" s="1"/>
  <c r="O21" s="1"/>
  <c r="D22" i="1" l="1"/>
  <c r="P21" i="8"/>
  <c r="I22" i="18"/>
  <c r="G22"/>
  <c r="E22" i="1" l="1"/>
  <c r="B22" i="20"/>
  <c r="D22" s="1"/>
  <c r="E22" l="1"/>
  <c r="F22" l="1"/>
  <c r="D21" i="7" s="1"/>
  <c r="E21" s="1"/>
  <c r="G21" s="1"/>
  <c r="H22" i="2" s="1"/>
  <c r="J22" s="1"/>
  <c r="K22" s="1"/>
  <c r="F23" i="1"/>
  <c r="C23" l="1"/>
  <c r="B23" i="21"/>
  <c r="D23" s="1"/>
  <c r="H21" i="7"/>
  <c r="B22" s="1"/>
  <c r="D23" i="18" l="1"/>
  <c r="E23" i="21"/>
  <c r="L22" i="8" s="1"/>
  <c r="O22" s="1"/>
  <c r="F23" i="21"/>
  <c r="P22" i="8" l="1"/>
  <c r="D23" i="1"/>
  <c r="I23" i="18"/>
  <c r="G23"/>
  <c r="E23" i="1" l="1"/>
  <c r="B23" i="20"/>
  <c r="D23" s="1"/>
  <c r="E23" l="1"/>
  <c r="F23" l="1"/>
  <c r="D22" i="7" s="1"/>
  <c r="E22" s="1"/>
  <c r="G22" s="1"/>
  <c r="H23" i="2" s="1"/>
  <c r="J23" s="1"/>
  <c r="K23" s="1"/>
  <c r="F24" i="1"/>
  <c r="B24" i="21" l="1"/>
  <c r="D24" s="1"/>
  <c r="C24" i="1"/>
  <c r="H22" i="7"/>
  <c r="B23" s="1"/>
  <c r="D24" i="18" l="1"/>
  <c r="F24" i="21"/>
  <c r="E24"/>
  <c r="L23" i="8" s="1"/>
  <c r="O23" s="1"/>
  <c r="D24" i="1" l="1"/>
  <c r="P23" i="8"/>
  <c r="G24" i="18"/>
  <c r="I24"/>
  <c r="E24" i="1" l="1"/>
  <c r="B24" i="20"/>
  <c r="D24" s="1"/>
  <c r="E24" l="1"/>
  <c r="F24" l="1"/>
  <c r="D23" i="7" s="1"/>
  <c r="E23" s="1"/>
  <c r="G23" s="1"/>
  <c r="H24" i="2" s="1"/>
  <c r="J24" s="1"/>
  <c r="K24" s="1"/>
  <c r="F25" i="1"/>
  <c r="C25" l="1"/>
  <c r="B25" i="21"/>
  <c r="D25" s="1"/>
  <c r="H23" i="7"/>
  <c r="B24" s="1"/>
  <c r="D25" i="18" l="1"/>
  <c r="F25" i="21"/>
  <c r="E25"/>
  <c r="L24" i="8" s="1"/>
  <c r="O24" s="1"/>
  <c r="G25" i="18" l="1"/>
  <c r="I25"/>
  <c r="D25" i="1"/>
  <c r="P24" i="8"/>
  <c r="E25" i="1" l="1"/>
  <c r="B25" i="20"/>
  <c r="D25" s="1"/>
  <c r="E25" l="1"/>
  <c r="F25" l="1"/>
  <c r="D24" i="7" s="1"/>
  <c r="E24" s="1"/>
  <c r="G24" s="1"/>
  <c r="H25" i="2" s="1"/>
  <c r="J25" s="1"/>
  <c r="K25" s="1"/>
  <c r="F26" i="1"/>
  <c r="B26" i="21" l="1"/>
  <c r="D26" s="1"/>
  <c r="C26" i="1"/>
  <c r="H24" i="7"/>
  <c r="B25" s="1"/>
  <c r="D26" i="18" l="1"/>
  <c r="F26" i="21"/>
  <c r="E26"/>
  <c r="L25" i="8" s="1"/>
  <c r="O25" s="1"/>
  <c r="P25" l="1"/>
  <c r="D26" i="1"/>
  <c r="G26" i="18"/>
  <c r="I26"/>
  <c r="E26" i="1" l="1"/>
  <c r="B26" i="20"/>
  <c r="D26" s="1"/>
  <c r="E26" l="1"/>
  <c r="F26" l="1"/>
  <c r="D25" i="7" s="1"/>
  <c r="E25" s="1"/>
  <c r="G25" s="1"/>
  <c r="H26" i="2" s="1"/>
  <c r="J26" s="1"/>
  <c r="K26" s="1"/>
  <c r="F27" i="1"/>
  <c r="C27" l="1"/>
  <c r="B27" i="21"/>
  <c r="D27" s="1"/>
  <c r="H25" i="7"/>
  <c r="B26" s="1"/>
  <c r="D27" i="18" l="1"/>
  <c r="E27" i="21"/>
  <c r="L26" i="8" s="1"/>
  <c r="O26" s="1"/>
  <c r="F27" i="21"/>
  <c r="D27" i="1" l="1"/>
  <c r="P26" i="8"/>
  <c r="G27" i="18"/>
  <c r="I27"/>
  <c r="E27" i="1" l="1"/>
  <c r="B27" i="20"/>
  <c r="D27" s="1"/>
  <c r="E27" l="1"/>
  <c r="F27" l="1"/>
  <c r="D26" i="7" s="1"/>
  <c r="E26" s="1"/>
  <c r="G26" s="1"/>
  <c r="H27" i="2" s="1"/>
  <c r="J27" s="1"/>
  <c r="K27" s="1"/>
  <c r="F28" i="1"/>
  <c r="B28" i="21" l="1"/>
  <c r="D28" s="1"/>
  <c r="C28" i="1"/>
  <c r="H26" i="7"/>
  <c r="B27" s="1"/>
  <c r="D28" i="18" l="1"/>
  <c r="E28" i="21"/>
  <c r="L27" i="8" s="1"/>
  <c r="O27" s="1"/>
  <c r="F28" i="21"/>
  <c r="D28" i="1" l="1"/>
  <c r="P27" i="8"/>
  <c r="I28" i="18"/>
  <c r="G28"/>
  <c r="E28" i="1" l="1"/>
  <c r="B28" i="20"/>
  <c r="D28" s="1"/>
  <c r="E28" l="1"/>
  <c r="F28" l="1"/>
  <c r="D27" i="7" s="1"/>
  <c r="E27" s="1"/>
  <c r="G27" s="1"/>
  <c r="H28" i="2" s="1"/>
  <c r="J28" s="1"/>
  <c r="K28" s="1"/>
  <c r="F29" i="1"/>
  <c r="C29" l="1"/>
  <c r="B29" i="21"/>
  <c r="D29" s="1"/>
  <c r="H27" i="7"/>
  <c r="B28" s="1"/>
  <c r="D29" i="18" l="1"/>
  <c r="F29" i="21"/>
  <c r="E29"/>
  <c r="L28" i="8" s="1"/>
  <c r="O28" s="1"/>
  <c r="D29" i="1" l="1"/>
  <c r="P28" i="8"/>
  <c r="I29" i="18"/>
  <c r="G29"/>
  <c r="E29" i="1" l="1"/>
  <c r="B29" i="20"/>
  <c r="D29" s="1"/>
  <c r="E29" l="1"/>
  <c r="F29" l="1"/>
  <c r="D28" i="7" s="1"/>
  <c r="E28" s="1"/>
  <c r="G28" s="1"/>
  <c r="H29" i="2" s="1"/>
  <c r="J29" s="1"/>
  <c r="K29" s="1"/>
  <c r="F30" i="1"/>
  <c r="B30" i="21" l="1"/>
  <c r="D30" s="1"/>
  <c r="C30" i="1"/>
  <c r="H28" i="7"/>
  <c r="B29" s="1"/>
  <c r="D30" i="18" l="1"/>
  <c r="F30" i="21"/>
  <c r="E30"/>
  <c r="L29" i="8" s="1"/>
  <c r="O29" s="1"/>
  <c r="P29" l="1"/>
  <c r="D30" i="1"/>
  <c r="I30" i="18"/>
  <c r="G30"/>
  <c r="E30" i="1" l="1"/>
  <c r="B30" i="20"/>
  <c r="D30" s="1"/>
  <c r="E30" l="1"/>
  <c r="F30" l="1"/>
  <c r="D29" i="7" s="1"/>
  <c r="E29" s="1"/>
  <c r="G29" s="1"/>
  <c r="H30" i="2" s="1"/>
  <c r="J30" s="1"/>
  <c r="K30" s="1"/>
  <c r="F31" i="1"/>
  <c r="C31" l="1"/>
  <c r="B31" i="21"/>
  <c r="D31" s="1"/>
  <c r="H29" i="7"/>
  <c r="B30" s="1"/>
  <c r="D31" i="18" l="1"/>
  <c r="E31" i="21"/>
  <c r="L30" i="8" s="1"/>
  <c r="O30" s="1"/>
  <c r="F31" i="21"/>
  <c r="D31" i="1" l="1"/>
  <c r="P30" i="8"/>
  <c r="I31" i="18"/>
  <c r="G31"/>
  <c r="E31" i="1" l="1"/>
  <c r="B31" i="20"/>
  <c r="D31" s="1"/>
  <c r="E31" l="1"/>
  <c r="F31" l="1"/>
  <c r="D30" i="7" s="1"/>
  <c r="E30" s="1"/>
  <c r="G30" s="1"/>
  <c r="H31" i="2" s="1"/>
  <c r="J31" s="1"/>
  <c r="K31" s="1"/>
  <c r="F32" i="1"/>
  <c r="B32" i="21" l="1"/>
  <c r="D32" s="1"/>
  <c r="C32" i="1"/>
  <c r="H30" i="7"/>
  <c r="B31" s="1"/>
  <c r="D32" i="18" l="1"/>
  <c r="E32" i="21"/>
  <c r="L31" i="8" s="1"/>
  <c r="O31" s="1"/>
  <c r="F32" i="21"/>
  <c r="P31" i="8" l="1"/>
  <c r="D32" i="1"/>
  <c r="G32" i="18"/>
  <c r="I32"/>
  <c r="E32" i="1" l="1"/>
  <c r="B32" i="20"/>
  <c r="D32" s="1"/>
  <c r="E32" l="1"/>
  <c r="F32" l="1"/>
  <c r="D31" i="7" s="1"/>
  <c r="E31" s="1"/>
  <c r="G31" s="1"/>
  <c r="H32" i="2" s="1"/>
  <c r="J32" s="1"/>
  <c r="K32" s="1"/>
  <c r="F33" i="1"/>
  <c r="B33" i="21" l="1"/>
  <c r="D33" s="1"/>
  <c r="C33" i="1"/>
  <c r="H31" i="7"/>
  <c r="B32" s="1"/>
  <c r="D33" i="18" l="1"/>
  <c r="E33" i="21"/>
  <c r="L32" i="8" s="1"/>
  <c r="O32" s="1"/>
  <c r="F33" i="21"/>
  <c r="D33" i="1" l="1"/>
  <c r="P32" i="8"/>
  <c r="G33" i="18"/>
  <c r="I33"/>
  <c r="E33" i="1" l="1"/>
  <c r="B33" i="20"/>
  <c r="D33" s="1"/>
  <c r="E33" l="1"/>
  <c r="F33" l="1"/>
  <c r="D32" i="7" s="1"/>
  <c r="E32" s="1"/>
  <c r="G32" s="1"/>
  <c r="H33" i="2" s="1"/>
  <c r="J33" s="1"/>
  <c r="K33" s="1"/>
  <c r="F34" i="1"/>
  <c r="B34" i="21" l="1"/>
  <c r="D34" s="1"/>
  <c r="C34" i="1"/>
  <c r="H32" i="7"/>
  <c r="B33" s="1"/>
  <c r="E34" i="21" l="1"/>
  <c r="L33" i="8" s="1"/>
  <c r="O33" s="1"/>
  <c r="F34" i="21"/>
  <c r="D34" i="18"/>
  <c r="P33" i="8" l="1"/>
  <c r="D34" i="1"/>
  <c r="G34" i="18"/>
  <c r="I34"/>
  <c r="E34" i="1" l="1"/>
  <c r="B34" i="20"/>
  <c r="D34" s="1"/>
  <c r="E34" l="1"/>
  <c r="F34" l="1"/>
  <c r="D33" i="7" s="1"/>
  <c r="E33" s="1"/>
  <c r="G33" s="1"/>
  <c r="H34" i="2" s="1"/>
  <c r="J34" s="1"/>
  <c r="K34" s="1"/>
  <c r="F35" i="1"/>
  <c r="C35" l="1"/>
  <c r="B35" i="21"/>
  <c r="D35" s="1"/>
  <c r="H33" i="7"/>
  <c r="B34" s="1"/>
  <c r="D35" i="18" l="1"/>
  <c r="E35" i="21"/>
  <c r="L34" i="8" s="1"/>
  <c r="O34" s="1"/>
  <c r="F35" i="21"/>
  <c r="P34" i="8" l="1"/>
  <c r="D35" i="1"/>
  <c r="G35" i="18"/>
  <c r="I35"/>
  <c r="E35" i="1" l="1"/>
  <c r="B35" i="20"/>
  <c r="D35" s="1"/>
  <c r="E35" l="1"/>
  <c r="F35" l="1"/>
  <c r="D34" i="7" s="1"/>
  <c r="E34" s="1"/>
  <c r="G34" s="1"/>
  <c r="H35" i="2" s="1"/>
  <c r="J35" s="1"/>
  <c r="K35" s="1"/>
  <c r="F36" i="1"/>
  <c r="B36" i="21" l="1"/>
  <c r="D36" s="1"/>
  <c r="C36" i="1"/>
  <c r="H34" i="7"/>
  <c r="B35" s="1"/>
  <c r="F36" i="21" l="1"/>
  <c r="E36"/>
  <c r="L35" i="8" s="1"/>
  <c r="O35" s="1"/>
  <c r="D36" i="18"/>
  <c r="P35" i="8" l="1"/>
  <c r="D36" i="1"/>
  <c r="G36" i="18"/>
  <c r="I36"/>
  <c r="E36" i="1" l="1"/>
  <c r="B36" i="20"/>
  <c r="D36" s="1"/>
  <c r="E36" l="1"/>
  <c r="F36" l="1"/>
  <c r="D35" i="7" s="1"/>
  <c r="E35" s="1"/>
  <c r="G35" s="1"/>
  <c r="H36" i="2" s="1"/>
  <c r="J36" s="1"/>
  <c r="K36" s="1"/>
  <c r="F37" i="1"/>
  <c r="B37" i="21" l="1"/>
  <c r="D37" s="1"/>
  <c r="C37" i="1"/>
  <c r="H35" i="7"/>
  <c r="B36" s="1"/>
  <c r="D37" i="18" l="1"/>
  <c r="F37" i="21"/>
  <c r="E37"/>
  <c r="L36" i="8" s="1"/>
  <c r="O36" s="1"/>
  <c r="P36" l="1"/>
  <c r="D37" i="1"/>
  <c r="I37" i="18"/>
  <c r="G37"/>
  <c r="B37" i="20" l="1"/>
  <c r="D37" s="1"/>
  <c r="E37" i="1"/>
  <c r="E37" i="20" l="1"/>
  <c r="F37" l="1"/>
  <c r="D36" i="7" s="1"/>
  <c r="E36" s="1"/>
  <c r="G36" s="1"/>
  <c r="H37" i="2" s="1"/>
  <c r="J37" s="1"/>
  <c r="K37" s="1"/>
  <c r="F38" i="1"/>
  <c r="B38" i="21" l="1"/>
  <c r="D38" s="1"/>
  <c r="C38" i="1"/>
  <c r="H36" i="7"/>
  <c r="F38" i="21" l="1"/>
  <c r="E38"/>
  <c r="L37" i="8" s="1"/>
  <c r="O37" s="1"/>
  <c r="P37" l="1"/>
  <c r="D38" i="1"/>
  <c r="E38" s="1"/>
</calcChain>
</file>

<file path=xl/comments1.xml><?xml version="1.0" encoding="utf-8"?>
<comments xmlns="http://schemas.openxmlformats.org/spreadsheetml/2006/main">
  <authors>
    <author>ajs</author>
  </authors>
  <commentList>
    <comment ref="G2" authorId="0">
      <text>
        <r>
          <rPr>
            <b/>
            <sz val="8"/>
            <color indexed="81"/>
            <rFont val="Tahoma"/>
            <family val="2"/>
          </rPr>
          <t>ajs:
after expenses but before income tax</t>
        </r>
      </text>
    </comment>
  </commentList>
</comments>
</file>

<file path=xl/comments2.xml><?xml version="1.0" encoding="utf-8"?>
<comments xmlns="http://schemas.openxmlformats.org/spreadsheetml/2006/main">
  <authors>
    <author>ajs</author>
  </authors>
  <commentList>
    <comment ref="D4" authorId="0">
      <text>
        <r>
          <rPr>
            <b/>
            <sz val="8"/>
            <color indexed="81"/>
            <rFont val="Tahoma"/>
            <family val="2"/>
          </rPr>
          <t xml:space="preserve">based on latest SS statement </t>
        </r>
      </text>
    </comment>
  </commentList>
</comments>
</file>

<file path=xl/comments3.xml><?xml version="1.0" encoding="utf-8"?>
<comments xmlns="http://schemas.openxmlformats.org/spreadsheetml/2006/main">
  <authors>
    <author>ajs</author>
  </authors>
  <commentList>
    <comment ref="I44" authorId="0">
      <text>
        <r>
          <rPr>
            <b/>
            <sz val="8"/>
            <color indexed="81"/>
            <rFont val="Tahoma"/>
            <family val="2"/>
          </rPr>
          <t>ajs:
monthly income for 1st yr calculated using spousal reduction</t>
        </r>
      </text>
    </comment>
    <comment ref="I47" authorId="0">
      <text>
        <r>
          <rPr>
            <b/>
            <sz val="8"/>
            <color indexed="81"/>
            <rFont val="Tahoma"/>
            <family val="2"/>
          </rPr>
          <t>ajs:
From HR.  Retire in Jan '07.  Gross, i.e., no tax, ins deducted. But survivor benefit reduction
How COLA Amounts are Determined 
The amount of the COLA is determined by the percentage increase in the Consumer Price Index (CPI), according to the following table: 
Change in CPI  COLA
0% to 2%        Change in CPI
2% to 3%         2%
Over 3%             Change in CPI, less 1%</t>
        </r>
      </text>
    </comment>
    <comment ref="I48" authorId="0">
      <text>
        <r>
          <rPr>
            <b/>
            <sz val="8"/>
            <color indexed="81"/>
            <rFont val="Tahoma"/>
            <family val="2"/>
          </rPr>
          <t>ajs:
from HR, using survivor benefits. After health &amp; life insurance and taxes</t>
        </r>
      </text>
    </comment>
  </commentList>
</comments>
</file>

<file path=xl/sharedStrings.xml><?xml version="1.0" encoding="utf-8"?>
<sst xmlns="http://schemas.openxmlformats.org/spreadsheetml/2006/main" count="347" uniqueCount="282">
  <si>
    <t>Year</t>
  </si>
  <si>
    <t>TSP</t>
  </si>
  <si>
    <t>FERS annuity</t>
  </si>
  <si>
    <t>Net Rent</t>
  </si>
  <si>
    <t>Other IRAs</t>
  </si>
  <si>
    <t>TOTAL</t>
  </si>
  <si>
    <t>Year of retirement</t>
  </si>
  <si>
    <t>Food</t>
  </si>
  <si>
    <t>Travel</t>
  </si>
  <si>
    <t>entertainment</t>
  </si>
  <si>
    <t>Total</t>
  </si>
  <si>
    <t>Charity</t>
  </si>
  <si>
    <t>toys</t>
  </si>
  <si>
    <t>Expenses</t>
  </si>
  <si>
    <t>Calculations for FERS retirement</t>
  </si>
  <si>
    <t>If you want to know what your retirement check would be, you can answer the following questions and receive a rough estimate .</t>
  </si>
  <si>
    <t xml:space="preserve">This information is valid only for those who have all service under FERS. </t>
  </si>
  <si>
    <t>If you have some CSRS service, the result information will not be accurate.</t>
  </si>
  <si>
    <t>Age at time of planned retirement</t>
  </si>
  <si>
    <t>years</t>
  </si>
  <si>
    <t xml:space="preserve">   months</t>
  </si>
  <si>
    <t xml:space="preserve">  (Such as 50 years and 5 months)</t>
  </si>
  <si>
    <t>High 3 years average salary, or current salary</t>
  </si>
  <si>
    <t>Years of service at time of retirement</t>
  </si>
  <si>
    <t xml:space="preserve">  (Such as 20 years and 5 months)</t>
  </si>
  <si>
    <t>Sick leave balance at time of retirement</t>
  </si>
  <si>
    <t>not eligible</t>
  </si>
  <si>
    <t>Retirement calculations - Results</t>
  </si>
  <si>
    <t>Base annual retirement income</t>
  </si>
  <si>
    <t>This has not been reduced by the listed offsets</t>
  </si>
  <si>
    <t>Reduced annuity if service &gt; 10 yrs and age &gt; 55 yrs.</t>
  </si>
  <si>
    <t>Offset for spousal reduction</t>
  </si>
  <si>
    <t>Divide the above amounts by 26 to obtain pay period amounts to compare to current net pay check</t>
  </si>
  <si>
    <t xml:space="preserve">Don't forget that your current pay check has deductions for TSP, Retirement, Bond, etc. that will not continue to be </t>
  </si>
  <si>
    <t>deducted after you retire. This will help close some of the gap between current pay and retirement pay</t>
  </si>
  <si>
    <t>Eligibility assumes age 55 and 30 yrs service, or age 60 and 20 years service, or age 62 and 5 years service.</t>
  </si>
  <si>
    <t>There will be an additional supplement to full annuity calculations of an amount approximately equal to social security</t>
  </si>
  <si>
    <t>from age 55 to 62, when social security will be received. A reduced annuity may be received if age &gt; 55 and service is &gt; 10 yrs.</t>
  </si>
  <si>
    <t>Changing Minimum Retirement Age (MRA) from 55 to 57 is not assumed in the calculations and related reductions.</t>
  </si>
  <si>
    <t>The information above is unofficial and not precisely accurate. Official calculations should be obtained from Personnel.</t>
  </si>
  <si>
    <t xml:space="preserve">If you would like additional information on your social security benefits, click here for The Top 10 Most Requested </t>
  </si>
  <si>
    <t>Services from Social Security Online, at http://www.ssa.gov/top10.html.</t>
  </si>
  <si>
    <t>service  month</t>
  </si>
  <si>
    <t>total in decimal</t>
  </si>
  <si>
    <t>1%x salary x svc yrs   if age &lt; 62</t>
  </si>
  <si>
    <t>1.1%x salary x svc yrs if age &gt;=62 &amp;svc&gt;20</t>
  </si>
  <si>
    <t>calculation used based on age</t>
  </si>
  <si>
    <t>age&gt;=60 and service =&gt;20 ?</t>
  </si>
  <si>
    <t>Age &gt;=55 and service=&gt; 30 ?</t>
  </si>
  <si>
    <t>Age &gt;=62 and service =&gt;5 ?</t>
  </si>
  <si>
    <t>Reduced benefits</t>
  </si>
  <si>
    <t>(age &lt; 62) x 5%</t>
  </si>
  <si>
    <t>1% x salary x svc - (age &lt; 62) x 5%</t>
  </si>
  <si>
    <t>fully eligible or reduced benefits</t>
  </si>
  <si>
    <t>Spouse reduction</t>
  </si>
  <si>
    <t>for 50%, 10% x annuity</t>
  </si>
  <si>
    <t>for 25%, 5% x annuity</t>
  </si>
  <si>
    <t>Ret age</t>
  </si>
  <si>
    <t>pmt/mo</t>
  </si>
  <si>
    <t>from web page http://www.ssa.gov/retire2/applying1.htm</t>
  </si>
  <si>
    <t>62 + 1 month</t>
  </si>
  <si>
    <t>62 + 2 months</t>
  </si>
  <si>
    <t>62 + 3 months</t>
  </si>
  <si>
    <t>62 + 4 months</t>
  </si>
  <si>
    <t>62 + 5 months</t>
  </si>
  <si>
    <t>62 + 6 months</t>
  </si>
  <si>
    <t>62 + 7 months</t>
  </si>
  <si>
    <t>62 + 8 months</t>
  </si>
  <si>
    <t>62 + 9 months</t>
  </si>
  <si>
    <t>62 + 10 months</t>
  </si>
  <si>
    <t>62 + 11 months</t>
  </si>
  <si>
    <t>63 + 1 month</t>
  </si>
  <si>
    <t>63 + 2 months</t>
  </si>
  <si>
    <t>63 + 3 months</t>
  </si>
  <si>
    <t>63 + 4 months</t>
  </si>
  <si>
    <t>63 + 5 months</t>
  </si>
  <si>
    <t>63 + 6 months</t>
  </si>
  <si>
    <t>63 + 7 months</t>
  </si>
  <si>
    <t>63 + 8 months</t>
  </si>
  <si>
    <t>63 + 9 months</t>
  </si>
  <si>
    <t>63 + 10 months</t>
  </si>
  <si>
    <t>63 + 11 months</t>
  </si>
  <si>
    <t>64 + 1 month</t>
  </si>
  <si>
    <t>64 + 2 months</t>
  </si>
  <si>
    <t>64 + 3 months</t>
  </si>
  <si>
    <t>64 + 4 months</t>
  </si>
  <si>
    <t>64 + 5 months</t>
  </si>
  <si>
    <t>64 + 6 months</t>
  </si>
  <si>
    <t>64 + 7 months</t>
  </si>
  <si>
    <t>64 + 8 months</t>
  </si>
  <si>
    <t>64 + 9 months</t>
  </si>
  <si>
    <t>64 + 10 months</t>
  </si>
  <si>
    <t>64 + 11 months</t>
  </si>
  <si>
    <t>65 + 1 month</t>
  </si>
  <si>
    <t>65 + 2 months</t>
  </si>
  <si>
    <t>65 + 3 months</t>
  </si>
  <si>
    <t>65 + 4 months</t>
  </si>
  <si>
    <t>65 + 5 months</t>
  </si>
  <si>
    <t>65 + 6 months</t>
  </si>
  <si>
    <t>65 + 7 months</t>
  </si>
  <si>
    <t>65 + 8 months</t>
  </si>
  <si>
    <t>65 + 9 months</t>
  </si>
  <si>
    <t>65 + 10 months</t>
  </si>
  <si>
    <t>65 + 11 months</t>
  </si>
  <si>
    <t>percent</t>
  </si>
  <si>
    <t> 75.0</t>
  </si>
  <si>
    <t> 35.0</t>
  </si>
  <si>
    <t>IRA &amp; other cash</t>
  </si>
  <si>
    <t>Net</t>
  </si>
  <si>
    <t>Assumed annual increases</t>
  </si>
  <si>
    <t>Other Income</t>
  </si>
  <si>
    <t>Monthly Income</t>
  </si>
  <si>
    <t>Annual Income</t>
  </si>
  <si>
    <t>Initial TSP</t>
  </si>
  <si>
    <t>Assumed growth rate</t>
  </si>
  <si>
    <t>Value</t>
  </si>
  <si>
    <t>Withdraw %</t>
  </si>
  <si>
    <t>$ monthly withdraw</t>
  </si>
  <si>
    <t>Ending balance</t>
  </si>
  <si>
    <t>Gross Mo income</t>
  </si>
  <si>
    <t>Rental expenses</t>
  </si>
  <si>
    <t>increase %</t>
  </si>
  <si>
    <t xml:space="preserve">year </t>
  </si>
  <si>
    <t>Housing; pmt, ins, tax, maint</t>
  </si>
  <si>
    <t>Medicine &amp; health ins</t>
  </si>
  <si>
    <t>food</t>
  </si>
  <si>
    <t>travel</t>
  </si>
  <si>
    <t>charity</t>
  </si>
  <si>
    <t>misc</t>
  </si>
  <si>
    <t>TOTAL annual</t>
  </si>
  <si>
    <t>TOTAL Monthly</t>
  </si>
  <si>
    <t>Age Factor</t>
  </si>
  <si>
    <t>Housing</t>
  </si>
  <si>
    <t>Med + Ins</t>
  </si>
  <si>
    <t>Age</t>
  </si>
  <si>
    <t xml:space="preserve">Transp </t>
  </si>
  <si>
    <t>Misc</t>
  </si>
  <si>
    <t>Base Amount from 2005</t>
  </si>
  <si>
    <t>YRS</t>
  </si>
  <si>
    <t>Income tax</t>
  </si>
  <si>
    <t>TSP value</t>
  </si>
  <si>
    <t>House value</t>
  </si>
  <si>
    <t>Rentals value</t>
  </si>
  <si>
    <t>Rate of increase for house</t>
  </si>
  <si>
    <t>Rate of increase for rentals</t>
  </si>
  <si>
    <t>Net total value</t>
  </si>
  <si>
    <t>Net Worth</t>
  </si>
  <si>
    <t>Yr</t>
  </si>
  <si>
    <t>Cash to start</t>
  </si>
  <si>
    <t>Income</t>
  </si>
  <si>
    <t>Expense</t>
  </si>
  <si>
    <t>Car</t>
  </si>
  <si>
    <t>replace every _ years</t>
  </si>
  <si>
    <t>cost (2004 $)</t>
  </si>
  <si>
    <t>$/yr</t>
  </si>
  <si>
    <t>car 1</t>
  </si>
  <si>
    <t>car 2</t>
  </si>
  <si>
    <t>Gas</t>
  </si>
  <si>
    <t>miles total per year</t>
  </si>
  <si>
    <t>mpg</t>
  </si>
  <si>
    <t>$/gal</t>
  </si>
  <si>
    <t>Maint</t>
  </si>
  <si>
    <t>tires</t>
  </si>
  <si>
    <t>oil</t>
  </si>
  <si>
    <t>other</t>
  </si>
  <si>
    <t>Car Insur</t>
  </si>
  <si>
    <t>Cash Flow per yr</t>
  </si>
  <si>
    <t>life, LTC insur</t>
  </si>
  <si>
    <t>my age</t>
  </si>
  <si>
    <t>Transfer of cash in or out</t>
  </si>
  <si>
    <t>tax</t>
  </si>
  <si>
    <t>of the amount over</t>
  </si>
  <si>
    <t>use this or actuals</t>
  </si>
  <si>
    <t>Taxable income</t>
  </si>
  <si>
    <t>deduction for exemption</t>
  </si>
  <si>
    <t>Standard Deduction</t>
  </si>
  <si>
    <t>cash balance</t>
  </si>
  <si>
    <t>car</t>
  </si>
  <si>
    <t>cost due to option</t>
  </si>
  <si>
    <t>Part time work</t>
  </si>
  <si>
    <t>IRA</t>
  </si>
  <si>
    <t>From Minimum</t>
  </si>
  <si>
    <t>To Maximum</t>
  </si>
  <si>
    <t>Minimum inflation</t>
  </si>
  <si>
    <t>Maximum inflation</t>
  </si>
  <si>
    <t>Cash Balance</t>
  </si>
  <si>
    <t>Rent</t>
  </si>
  <si>
    <t>My age</t>
  </si>
  <si>
    <t>is max increase for growth in house value</t>
  </si>
  <si>
    <t>is min increase for growth in house value</t>
  </si>
  <si>
    <t>is max increase for growth of rental house value</t>
  </si>
  <si>
    <t>is min increase for growth of rental house value</t>
  </si>
  <si>
    <t>If taxable income is over--</t>
  </si>
  <si>
    <t>But not over--</t>
  </si>
  <si>
    <t>The tax is:</t>
  </si>
  <si>
    <t>no limit</t>
  </si>
  <si>
    <t>plus</t>
  </si>
  <si>
    <t>Cash from sale</t>
  </si>
  <si>
    <t>Instruction:  All you need to fill in are the boxes in light yellow to get started.</t>
  </si>
  <si>
    <t>What age do you plan to retire?</t>
  </si>
  <si>
    <t>How much cash in your checking account do you plan to have on the first day of retirement?</t>
  </si>
  <si>
    <t>What is the total dollar value of your IRAs at time of retirement?</t>
  </si>
  <si>
    <t>How much equity is in your house at time of retirement?</t>
  </si>
  <si>
    <t>What is the best expected rate of increase for the house?</t>
  </si>
  <si>
    <t>What is the lowest expected rate of increase (or decrease) for the investment property?</t>
  </si>
  <si>
    <t>What is the best expected rate of increase for the investment property?</t>
  </si>
  <si>
    <t>What is the total dollar value of your TSP at time of retirement?</t>
  </si>
  <si>
    <t>What is the expected withdrawal rate from your IRA?</t>
  </si>
  <si>
    <t>For FERS calcs, what is the high 3 average annual income</t>
  </si>
  <si>
    <t>What is the expected lowest rate of growth, or decline, in rental income?</t>
  </si>
  <si>
    <t>What is the expected best rate of growth in rental income?</t>
  </si>
  <si>
    <t>--</t>
  </si>
  <si>
    <t>What do you expect your spouse's Social Security income to be in the first year?</t>
  </si>
  <si>
    <t>What do you expect your entertainment expenses to be in the first year?</t>
  </si>
  <si>
    <t>Go to the "Expectation" tab and complete the matrix.</t>
  </si>
  <si>
    <t>What is the lowest expected rate of increase for the house (negative for depreciation)?</t>
  </si>
  <si>
    <t>Go to "Car" tab and estimate your car expenses. Fill in yellow blocks.</t>
  </si>
  <si>
    <t>Weekly groceries</t>
  </si>
  <si>
    <t>Eating out cost per week</t>
  </si>
  <si>
    <t>Total weekly estimated cost</t>
  </si>
  <si>
    <t>Total estimated annual food costs</t>
  </si>
  <si>
    <t>What are the annual miscellaneous expenses?</t>
  </si>
  <si>
    <t>date</t>
  </si>
  <si>
    <t>SS random</t>
  </si>
  <si>
    <t>tsp random</t>
  </si>
  <si>
    <t>Net rent random</t>
  </si>
  <si>
    <t>Net Rent (avg2)</t>
  </si>
  <si>
    <t>other IRAs random</t>
  </si>
  <si>
    <t>Other IRAs (avg2)</t>
  </si>
  <si>
    <t>Inflation rate random</t>
  </si>
  <si>
    <t>(press the F9 function key to see the effects of random changes)</t>
  </si>
  <si>
    <t>If you have investment property (rental house, vacation home), what is the current equity or net worth?</t>
  </si>
  <si>
    <t>What is the expected withdrawal rate from your TSP?</t>
  </si>
  <si>
    <t>Tax rates for 2007 for Filing Jointly</t>
  </si>
  <si>
    <t>is 2007 exemption</t>
  </si>
  <si>
    <t>is standard deduction</t>
  </si>
  <si>
    <t>alt tax est</t>
  </si>
  <si>
    <r>
      <t xml:space="preserve">What do you expect the maximum </t>
    </r>
    <r>
      <rPr>
        <b/>
        <sz val="9"/>
        <rFont val="Arial"/>
        <family val="2"/>
      </rPr>
      <t>inflation rate</t>
    </r>
    <r>
      <rPr>
        <sz val="9"/>
        <rFont val="Arial"/>
        <family val="2"/>
      </rPr>
      <t xml:space="preserve"> to be?</t>
    </r>
  </si>
  <si>
    <r>
      <t xml:space="preserve">What do you expect the minimum </t>
    </r>
    <r>
      <rPr>
        <b/>
        <sz val="9"/>
        <rFont val="Arial"/>
        <family val="2"/>
      </rPr>
      <t>inflation rate</t>
    </r>
    <r>
      <rPr>
        <sz val="9"/>
        <rFont val="Arial"/>
        <family val="2"/>
      </rPr>
      <t xml:space="preserve"> to be?</t>
    </r>
  </si>
  <si>
    <t>starting expense</t>
  </si>
  <si>
    <t>expense after inflation</t>
  </si>
  <si>
    <t>expense after inflation and expectation</t>
  </si>
  <si>
    <t>age</t>
  </si>
  <si>
    <t>What was your last annual travel expense (excluding foreign travel)?</t>
  </si>
  <si>
    <t>Go to the tab "PT work" and enter any annual income from post retirement work</t>
  </si>
  <si>
    <t>Go to "Food" tab and estimate your food expenses. Fill in yellow blocks.</t>
  </si>
  <si>
    <t>What is the annual contribution to charity the first year?</t>
  </si>
  <si>
    <t>What do you expect your monthly Social Security income to be in the first year?</t>
  </si>
  <si>
    <t>Spouse SS</t>
  </si>
  <si>
    <t>buy boat</t>
  </si>
  <si>
    <t>Earner 1 (E1) age</t>
  </si>
  <si>
    <t>starting E1 ss income</t>
  </si>
  <si>
    <t>Earner 1 (E1) SS</t>
  </si>
  <si>
    <t>spouse age</t>
  </si>
  <si>
    <t>starting spouse ss income</t>
  </si>
  <si>
    <t>Spouse income after COLA adjustment</t>
  </si>
  <si>
    <t>E1 income after COLA adjustment</t>
  </si>
  <si>
    <t>SS, spouse</t>
  </si>
  <si>
    <t>SS, Earner1</t>
  </si>
  <si>
    <t>Liquid worth</t>
  </si>
  <si>
    <t>What is the minimum annual expected growth rate from your TSP?</t>
  </si>
  <si>
    <t>What is the maximum annual expected growth rate from your TSP?</t>
  </si>
  <si>
    <t>What is the minimum expected annual growth (or decrease) rate from your IRA?</t>
  </si>
  <si>
    <t>What is the maximum expected annual growth rate from your IRA?</t>
  </si>
  <si>
    <t>What do you expect hobbies (computers, gadgets, cameras, tools) to cost in the first year?</t>
  </si>
  <si>
    <t>SS (avg4)</t>
  </si>
  <si>
    <t>TSP (avg4)</t>
  </si>
  <si>
    <t>inflation rate used (avg 4)</t>
  </si>
  <si>
    <r>
      <t xml:space="preserve">What is the present gross average </t>
    </r>
    <r>
      <rPr>
        <u/>
        <sz val="9"/>
        <rFont val="Arial"/>
        <family val="2"/>
      </rPr>
      <t>monthly</t>
    </r>
    <r>
      <rPr>
        <sz val="9"/>
        <rFont val="Arial"/>
        <family val="2"/>
      </rPr>
      <t xml:space="preserve"> income from the rental property?</t>
    </r>
  </si>
  <si>
    <t>Base amount from 2009 for housing (includes utilities, insurance, maint, tax, house pmts)</t>
  </si>
  <si>
    <t>Earner1</t>
  </si>
  <si>
    <t>Spouse</t>
  </si>
  <si>
    <t>Base amount from 2009 (includes utilities, insurance, maint, tax, house pmts)</t>
  </si>
  <si>
    <t>Baseline from 2009</t>
  </si>
  <si>
    <t>Baseline from 2009 (includes groceries + restaurant)</t>
  </si>
  <si>
    <t>sell boat</t>
  </si>
  <si>
    <t>Max cash held is $40,000</t>
  </si>
  <si>
    <t>Excess added to 1st retirement account</t>
  </si>
  <si>
    <t>Excess Cash</t>
  </si>
  <si>
    <t>What do you expect insurance to cost in the first year (e.g. long term care &amp; supplemental health)?</t>
  </si>
  <si>
    <t>Go to "Option" tab and enter special expenses (e.g. moving, buy boat, time share, etc) in the year of the expense (enter a minus if you sell a boat, etc)</t>
  </si>
  <si>
    <t>What were your last annual medical expenses (include insurance but don’t duplicate what's in line 30)?</t>
  </si>
</sst>
</file>

<file path=xl/styles.xml><?xml version="1.0" encoding="utf-8"?>
<styleSheet xmlns="http://schemas.openxmlformats.org/spreadsheetml/2006/main">
  <numFmts count="9">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0.0%"/>
    <numFmt numFmtId="167" formatCode="&quot;$&quot;#,##0.00"/>
    <numFmt numFmtId="168" formatCode="_([$$-409]* #,##0_);_([$$-409]* \(#,##0\);_([$$-409]* &quot;-&quot;??_);_(@_)"/>
    <numFmt numFmtId="169" formatCode="_(&quot;$&quot;* #,##0_);_(&quot;$&quot;* \(#,##0\);_(&quot;$&quot;* &quot;-&quot;??_);_(@_)"/>
  </numFmts>
  <fonts count="22">
    <font>
      <sz val="10"/>
      <name val="Arial"/>
    </font>
    <font>
      <sz val="10"/>
      <name val="Arial"/>
      <family val="2"/>
    </font>
    <font>
      <sz val="8"/>
      <name val="Arial"/>
      <family val="2"/>
    </font>
    <font>
      <b/>
      <sz val="8"/>
      <color indexed="81"/>
      <name val="Tahoma"/>
      <family val="2"/>
    </font>
    <font>
      <sz val="9"/>
      <name val="Arial"/>
      <family val="2"/>
    </font>
    <font>
      <b/>
      <sz val="10"/>
      <name val="Arial"/>
      <family val="2"/>
    </font>
    <font>
      <b/>
      <sz val="9"/>
      <name val="Arial"/>
      <family val="2"/>
    </font>
    <font>
      <b/>
      <sz val="14"/>
      <name val="Arial"/>
      <family val="2"/>
    </font>
    <font>
      <i/>
      <sz val="10"/>
      <name val="Arial"/>
      <family val="2"/>
    </font>
    <font>
      <b/>
      <sz val="10"/>
      <name val="Arial"/>
      <family val="2"/>
    </font>
    <font>
      <u/>
      <sz val="10"/>
      <name val="Arial"/>
      <family val="2"/>
    </font>
    <font>
      <b/>
      <sz val="8"/>
      <name val="Arial"/>
      <family val="2"/>
    </font>
    <font>
      <sz val="9"/>
      <name val="Arial"/>
      <family val="2"/>
    </font>
    <font>
      <b/>
      <sz val="8"/>
      <name val="Arial"/>
      <family val="2"/>
    </font>
    <font>
      <b/>
      <sz val="8"/>
      <color indexed="8"/>
      <name val="Arial"/>
      <family val="2"/>
    </font>
    <font>
      <sz val="8"/>
      <color indexed="8"/>
      <name val="Arial"/>
      <family val="2"/>
    </font>
    <font>
      <u/>
      <sz val="9"/>
      <name val="Arial"/>
      <family val="2"/>
    </font>
    <font>
      <sz val="10"/>
      <name val="Arial"/>
      <family val="2"/>
    </font>
    <font>
      <sz val="9"/>
      <color indexed="23"/>
      <name val="Arial"/>
      <family val="2"/>
    </font>
    <font>
      <sz val="10"/>
      <color indexed="23"/>
      <name val="Arial"/>
      <family val="2"/>
    </font>
    <font>
      <b/>
      <sz val="9"/>
      <color indexed="53"/>
      <name val="Arial"/>
      <family val="2"/>
    </font>
    <font>
      <b/>
      <sz val="11"/>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0" fillId="0" borderId="0" xfId="0" applyAlignment="1">
      <alignment horizontal="center" wrapText="1"/>
    </xf>
    <xf numFmtId="0" fontId="4" fillId="0" borderId="0" xfId="0" applyFont="1" applyAlignment="1">
      <alignment horizontal="center" wrapText="1"/>
    </xf>
    <xf numFmtId="0" fontId="4" fillId="0" borderId="0" xfId="0" applyFont="1"/>
    <xf numFmtId="8" fontId="0" fillId="0" borderId="0" xfId="0" applyNumberFormat="1"/>
    <xf numFmtId="49" fontId="0" fillId="0" borderId="0" xfId="0" applyNumberFormat="1"/>
    <xf numFmtId="49" fontId="5" fillId="0" borderId="0" xfId="0" applyNumberFormat="1" applyFont="1" applyAlignment="1">
      <alignment horizontal="left" vertical="center" wrapText="1"/>
    </xf>
    <xf numFmtId="165" fontId="0" fillId="0" borderId="0" xfId="0" applyNumberFormat="1" applyAlignment="1">
      <alignment horizontal="center" wrapText="1"/>
    </xf>
    <xf numFmtId="10" fontId="4" fillId="0" borderId="0" xfId="0" applyNumberFormat="1" applyFont="1"/>
    <xf numFmtId="0" fontId="6" fillId="0" borderId="0" xfId="0" applyFont="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64" fontId="4" fillId="0" borderId="4" xfId="0" applyNumberFormat="1" applyFont="1" applyBorder="1"/>
    <xf numFmtId="164" fontId="4" fillId="0" borderId="0" xfId="0" applyNumberFormat="1" applyFont="1" applyBorder="1"/>
    <xf numFmtId="164" fontId="4" fillId="0" borderId="5" xfId="0" applyNumberFormat="1" applyFont="1" applyBorder="1"/>
    <xf numFmtId="164" fontId="4" fillId="0" borderId="7" xfId="0" applyNumberFormat="1" applyFont="1" applyBorder="1"/>
    <xf numFmtId="164" fontId="4" fillId="0" borderId="8" xfId="0" applyNumberFormat="1" applyFont="1" applyBorder="1"/>
    <xf numFmtId="0" fontId="6" fillId="0" borderId="9" xfId="0" applyFont="1" applyBorder="1" applyAlignment="1">
      <alignment horizontal="center" wrapText="1"/>
    </xf>
    <xf numFmtId="0" fontId="4" fillId="0" borderId="10" xfId="0" applyFont="1" applyBorder="1" applyAlignment="1">
      <alignment horizontal="center" wrapText="1"/>
    </xf>
    <xf numFmtId="164" fontId="4" fillId="0" borderId="11" xfId="0" applyNumberFormat="1" applyFont="1" applyBorder="1"/>
    <xf numFmtId="164" fontId="4" fillId="0" borderId="12" xfId="0" applyNumberFormat="1" applyFont="1" applyBorder="1"/>
    <xf numFmtId="164" fontId="0" fillId="0" borderId="0" xfId="0" applyNumberFormat="1"/>
    <xf numFmtId="0" fontId="0" fillId="0" borderId="0" xfId="0" applyFill="1"/>
    <xf numFmtId="10" fontId="0" fillId="0" borderId="0" xfId="0" applyNumberFormat="1"/>
    <xf numFmtId="164" fontId="0" fillId="0" borderId="0" xfId="0" applyNumberFormat="1" applyAlignment="1">
      <alignment horizontal="center" wrapText="1"/>
    </xf>
    <xf numFmtId="0" fontId="0" fillId="0" borderId="0" xfId="0" applyFill="1" applyAlignment="1">
      <alignment horizontal="center" wrapText="1"/>
    </xf>
    <xf numFmtId="164" fontId="0" fillId="0" borderId="0" xfId="0" applyNumberFormat="1" applyFill="1"/>
    <xf numFmtId="3" fontId="0" fillId="0" borderId="0" xfId="0" applyNumberFormat="1"/>
    <xf numFmtId="0" fontId="7" fillId="0" borderId="0" xfId="0" applyFont="1"/>
    <xf numFmtId="0" fontId="0" fillId="0" borderId="0" xfId="0" quotePrefix="1" applyAlignment="1">
      <alignment horizontal="left"/>
    </xf>
    <xf numFmtId="0" fontId="0" fillId="0" borderId="9" xfId="0" applyBorder="1" applyProtection="1">
      <protection locked="0"/>
    </xf>
    <xf numFmtId="0" fontId="0" fillId="0" borderId="9" xfId="0" applyBorder="1" applyAlignment="1">
      <alignment horizontal="left"/>
    </xf>
    <xf numFmtId="0" fontId="0" fillId="0" borderId="9" xfId="0" applyBorder="1"/>
    <xf numFmtId="0" fontId="0" fillId="0" borderId="0" xfId="0" applyBorder="1"/>
    <xf numFmtId="9" fontId="0" fillId="0" borderId="0" xfId="0" applyNumberFormat="1" applyAlignment="1">
      <alignment horizontal="left"/>
    </xf>
    <xf numFmtId="0" fontId="5" fillId="0" borderId="0" xfId="0" applyFont="1"/>
    <xf numFmtId="0" fontId="0" fillId="0" borderId="0" xfId="0" applyAlignment="1">
      <alignment horizontal="center"/>
    </xf>
    <xf numFmtId="167" fontId="0" fillId="0" borderId="0" xfId="0" applyNumberFormat="1"/>
    <xf numFmtId="8" fontId="0" fillId="0" borderId="9" xfId="0" applyNumberFormat="1" applyBorder="1"/>
    <xf numFmtId="0" fontId="0" fillId="0" borderId="10" xfId="0" applyBorder="1"/>
    <xf numFmtId="0" fontId="0" fillId="0" borderId="11" xfId="0" applyBorder="1"/>
    <xf numFmtId="0" fontId="0" fillId="0" borderId="12" xfId="0" applyBorder="1"/>
    <xf numFmtId="0" fontId="8" fillId="0" borderId="0" xfId="0" applyFont="1" applyAlignment="1">
      <alignment horizontal="left"/>
    </xf>
    <xf numFmtId="0" fontId="8" fillId="0" borderId="0" xfId="0" applyFont="1"/>
    <xf numFmtId="6" fontId="0" fillId="0" borderId="0" xfId="0" applyNumberFormat="1"/>
    <xf numFmtId="166" fontId="0" fillId="0" borderId="0" xfId="0" applyNumberFormat="1" applyFill="1" applyBorder="1"/>
    <xf numFmtId="164" fontId="0" fillId="0" borderId="0" xfId="0" applyNumberFormat="1" applyFill="1" applyBorder="1"/>
    <xf numFmtId="1" fontId="0" fillId="0" borderId="0" xfId="0" applyNumberFormat="1" applyBorder="1"/>
    <xf numFmtId="164" fontId="0" fillId="0" borderId="0" xfId="0" applyNumberFormat="1" applyBorder="1"/>
    <xf numFmtId="165" fontId="0" fillId="0" borderId="0" xfId="0" applyNumberFormat="1" applyFill="1" applyBorder="1"/>
    <xf numFmtId="0" fontId="0" fillId="0" borderId="0" xfId="0" applyFill="1" applyBorder="1"/>
    <xf numFmtId="164" fontId="10" fillId="0" borderId="0" xfId="0" applyNumberFormat="1" applyFont="1" applyFill="1" applyBorder="1"/>
    <xf numFmtId="0" fontId="9" fillId="0" borderId="0" xfId="0" applyFont="1" applyFill="1" applyBorder="1" applyAlignment="1">
      <alignment horizontal="center"/>
    </xf>
    <xf numFmtId="164" fontId="9" fillId="0" borderId="0" xfId="0" applyNumberFormat="1" applyFont="1" applyFill="1" applyBorder="1"/>
    <xf numFmtId="166" fontId="9" fillId="0" borderId="0" xfId="0" applyNumberFormat="1" applyFont="1" applyFill="1" applyBorder="1"/>
    <xf numFmtId="0" fontId="9" fillId="0" borderId="0" xfId="0" applyFont="1" applyFill="1" applyBorder="1"/>
    <xf numFmtId="0" fontId="9" fillId="0" borderId="0" xfId="0" applyFont="1"/>
    <xf numFmtId="0" fontId="0" fillId="2" borderId="0" xfId="0" applyFill="1"/>
    <xf numFmtId="0" fontId="0" fillId="0" borderId="0" xfId="0" applyAlignment="1"/>
    <xf numFmtId="0" fontId="9" fillId="0" borderId="0" xfId="0" applyFont="1" applyAlignment="1"/>
    <xf numFmtId="164" fontId="0" fillId="2" borderId="0" xfId="0" applyNumberFormat="1" applyFill="1"/>
    <xf numFmtId="8" fontId="0" fillId="0" borderId="0" xfId="0" applyNumberFormat="1" applyFill="1"/>
    <xf numFmtId="0" fontId="2" fillId="0" borderId="0" xfId="0" applyFont="1" applyAlignment="1">
      <alignment wrapText="1"/>
    </xf>
    <xf numFmtId="0" fontId="13" fillId="0" borderId="0" xfId="0" applyFont="1" applyBorder="1" applyAlignment="1">
      <alignment horizontal="center" wrapText="1"/>
    </xf>
    <xf numFmtId="0" fontId="11" fillId="0" borderId="0" xfId="0" applyFont="1" applyAlignment="1">
      <alignment horizontal="center" wrapText="1"/>
    </xf>
    <xf numFmtId="10" fontId="4" fillId="0" borderId="0" xfId="0" applyNumberFormat="1" applyFont="1" applyFill="1"/>
    <xf numFmtId="164" fontId="6" fillId="0" borderId="0" xfId="0" applyNumberFormat="1" applyFont="1" applyAlignment="1">
      <alignment horizontal="center" wrapText="1"/>
    </xf>
    <xf numFmtId="0" fontId="12" fillId="0" borderId="0" xfId="0" applyFont="1"/>
    <xf numFmtId="0" fontId="12" fillId="2" borderId="0" xfId="0" applyFont="1" applyFill="1"/>
    <xf numFmtId="164" fontId="12" fillId="0" borderId="0" xfId="0" applyNumberFormat="1" applyFont="1"/>
    <xf numFmtId="0" fontId="6" fillId="0" borderId="0" xfId="0" applyFont="1" applyAlignment="1">
      <alignment horizontal="center"/>
    </xf>
    <xf numFmtId="164" fontId="6" fillId="0" borderId="0" xfId="0" applyNumberFormat="1" applyFont="1" applyAlignment="1">
      <alignment horizontal="center"/>
    </xf>
    <xf numFmtId="164" fontId="12" fillId="2" borderId="0" xfId="0" applyNumberFormat="1" applyFont="1" applyFill="1" applyAlignment="1">
      <alignment horizontal="center" wrapText="1"/>
    </xf>
    <xf numFmtId="0" fontId="6" fillId="0" borderId="0" xfId="0" applyFont="1"/>
    <xf numFmtId="2" fontId="12" fillId="2" borderId="0" xfId="0" applyNumberFormat="1" applyFont="1" applyFill="1"/>
    <xf numFmtId="164" fontId="6" fillId="0" borderId="9" xfId="0" applyNumberFormat="1" applyFont="1" applyFill="1" applyBorder="1"/>
    <xf numFmtId="10" fontId="0" fillId="0" borderId="0" xfId="0" applyNumberFormat="1" applyFill="1"/>
    <xf numFmtId="6" fontId="0" fillId="0" borderId="0" xfId="0" applyNumberFormat="1" applyBorder="1"/>
    <xf numFmtId="6" fontId="0" fillId="0" borderId="0" xfId="0" applyNumberFormat="1" applyAlignment="1"/>
    <xf numFmtId="0" fontId="4" fillId="0" borderId="0" xfId="0" applyFont="1" applyAlignment="1">
      <alignment horizontal="center"/>
    </xf>
    <xf numFmtId="0" fontId="13" fillId="0" borderId="0" xfId="0" applyFont="1" applyFill="1" applyBorder="1" applyAlignment="1">
      <alignment horizontal="center" wrapText="1"/>
    </xf>
    <xf numFmtId="166" fontId="0" fillId="0" borderId="0" xfId="0" applyNumberFormat="1" applyFill="1"/>
    <xf numFmtId="0" fontId="14" fillId="0" borderId="13" xfId="0" applyFont="1" applyBorder="1" applyAlignment="1">
      <alignment horizontal="center" vertical="center" wrapText="1"/>
    </xf>
    <xf numFmtId="6" fontId="15" fillId="0" borderId="13" xfId="0" applyNumberFormat="1" applyFont="1" applyBorder="1" applyAlignment="1">
      <alignment wrapText="1"/>
    </xf>
    <xf numFmtId="0" fontId="15" fillId="0" borderId="13" xfId="0" applyFont="1" applyBorder="1" applyAlignment="1">
      <alignment wrapText="1"/>
    </xf>
    <xf numFmtId="0" fontId="14" fillId="0" borderId="14" xfId="0" applyFont="1" applyBorder="1" applyAlignment="1">
      <alignment horizontal="center" vertical="center" wrapText="1"/>
    </xf>
    <xf numFmtId="0" fontId="11" fillId="0" borderId="15" xfId="0" applyFont="1" applyBorder="1" applyAlignment="1">
      <alignment horizontal="center" wrapText="1"/>
    </xf>
    <xf numFmtId="164" fontId="2" fillId="0" borderId="15" xfId="0" applyNumberFormat="1" applyFont="1" applyBorder="1"/>
    <xf numFmtId="8" fontId="15" fillId="0" borderId="14" xfId="0" applyNumberFormat="1" applyFont="1" applyBorder="1" applyAlignment="1">
      <alignment wrapText="1"/>
    </xf>
    <xf numFmtId="164" fontId="15" fillId="0" borderId="14" xfId="0" applyNumberFormat="1" applyFont="1" applyBorder="1" applyAlignment="1">
      <alignment wrapText="1"/>
    </xf>
    <xf numFmtId="0" fontId="14" fillId="0" borderId="15" xfId="0" applyFont="1" applyFill="1" applyBorder="1" applyAlignment="1">
      <alignment horizontal="center" vertical="center" wrapText="1"/>
    </xf>
    <xf numFmtId="9" fontId="2" fillId="0" borderId="15" xfId="0" applyNumberFormat="1" applyFont="1" applyBorder="1"/>
    <xf numFmtId="0" fontId="12" fillId="0" borderId="15" xfId="0" applyFont="1" applyBorder="1" applyAlignment="1">
      <alignment wrapText="1"/>
    </xf>
    <xf numFmtId="0" fontId="12" fillId="2" borderId="15" xfId="0" applyFont="1" applyFill="1" applyBorder="1" applyAlignment="1">
      <alignment vertical="top"/>
    </xf>
    <xf numFmtId="164" fontId="12" fillId="2" borderId="15" xfId="0" applyNumberFormat="1" applyFont="1" applyFill="1" applyBorder="1" applyAlignment="1">
      <alignment vertical="top"/>
    </xf>
    <xf numFmtId="166" fontId="12" fillId="2" borderId="15" xfId="0" applyNumberFormat="1" applyFont="1" applyFill="1" applyBorder="1" applyAlignment="1">
      <alignment vertical="top"/>
    </xf>
    <xf numFmtId="0" fontId="12" fillId="2" borderId="15" xfId="0" quotePrefix="1" applyFont="1" applyFill="1" applyBorder="1" applyAlignment="1">
      <alignment horizontal="center" vertical="top"/>
    </xf>
    <xf numFmtId="166" fontId="4" fillId="0" borderId="0" xfId="0" applyNumberFormat="1" applyFont="1" applyFill="1"/>
    <xf numFmtId="0" fontId="0" fillId="0" borderId="9" xfId="0" applyFill="1" applyBorder="1" applyProtection="1">
      <protection locked="0"/>
    </xf>
    <xf numFmtId="3" fontId="0" fillId="0" borderId="9" xfId="0" applyNumberFormat="1" applyFill="1" applyBorder="1" applyProtection="1">
      <protection locked="0"/>
    </xf>
    <xf numFmtId="6" fontId="0" fillId="0" borderId="0" xfId="0" applyNumberFormat="1" applyFill="1"/>
    <xf numFmtId="164" fontId="9" fillId="0" borderId="9" xfId="0" applyNumberFormat="1" applyFont="1" applyBorder="1"/>
    <xf numFmtId="164" fontId="12" fillId="2" borderId="15" xfId="0" quotePrefix="1" applyNumberFormat="1" applyFont="1" applyFill="1" applyBorder="1" applyAlignment="1">
      <alignment horizontal="right" vertical="top"/>
    </xf>
    <xf numFmtId="164" fontId="12" fillId="2" borderId="15" xfId="0" applyNumberFormat="1" applyFont="1" applyFill="1" applyBorder="1" applyAlignment="1"/>
    <xf numFmtId="0" fontId="12" fillId="2" borderId="15" xfId="0" quotePrefix="1" applyFont="1" applyFill="1" applyBorder="1" applyAlignment="1">
      <alignment horizontal="center"/>
    </xf>
    <xf numFmtId="0" fontId="12" fillId="0" borderId="15" xfId="0" applyFont="1" applyFill="1" applyBorder="1" applyAlignment="1">
      <alignment wrapText="1"/>
    </xf>
    <xf numFmtId="0" fontId="0" fillId="2" borderId="15" xfId="0" quotePrefix="1" applyFill="1" applyBorder="1" applyAlignment="1">
      <alignment horizontal="center"/>
    </xf>
    <xf numFmtId="8" fontId="0" fillId="0" borderId="0" xfId="0" applyNumberFormat="1" applyBorder="1"/>
    <xf numFmtId="8" fontId="9" fillId="0" borderId="0" xfId="0" applyNumberFormat="1" applyFont="1" applyBorder="1"/>
    <xf numFmtId="14" fontId="0" fillId="0" borderId="0" xfId="0" applyNumberFormat="1"/>
    <xf numFmtId="8" fontId="9" fillId="0" borderId="0" xfId="0" applyNumberFormat="1" applyFont="1"/>
    <xf numFmtId="8" fontId="17" fillId="0" borderId="0" xfId="0" applyNumberFormat="1" applyFont="1" applyBorder="1"/>
    <xf numFmtId="0" fontId="18" fillId="0" borderId="0" xfId="0" applyFont="1" applyAlignment="1">
      <alignment horizontal="center" wrapText="1"/>
    </xf>
    <xf numFmtId="10" fontId="18" fillId="0" borderId="0" xfId="0" applyNumberFormat="1" applyFont="1" applyFill="1"/>
    <xf numFmtId="0" fontId="19" fillId="0" borderId="0" xfId="0" applyFont="1"/>
    <xf numFmtId="0" fontId="19" fillId="0" borderId="0" xfId="0" applyFont="1" applyAlignment="1">
      <alignment horizontal="center" wrapText="1"/>
    </xf>
    <xf numFmtId="10" fontId="19" fillId="0" borderId="0" xfId="0" applyNumberFormat="1" applyFont="1" applyFill="1"/>
    <xf numFmtId="0" fontId="20" fillId="0" borderId="0" xfId="0" applyFont="1" applyAlignment="1">
      <alignment wrapText="1"/>
    </xf>
    <xf numFmtId="164" fontId="0" fillId="2" borderId="15" xfId="0" applyNumberFormat="1" applyFill="1" applyBorder="1" applyAlignment="1"/>
    <xf numFmtId="0" fontId="0" fillId="0" borderId="1" xfId="0" applyBorder="1" applyAlignment="1">
      <alignment horizontal="center" wrapText="1"/>
    </xf>
    <xf numFmtId="0" fontId="0" fillId="0" borderId="3" xfId="0" applyBorder="1" applyAlignment="1">
      <alignment horizontal="center" wrapText="1"/>
    </xf>
    <xf numFmtId="166" fontId="0" fillId="0" borderId="6" xfId="0" applyNumberFormat="1" applyFill="1" applyBorder="1"/>
    <xf numFmtId="166" fontId="0" fillId="0" borderId="8" xfId="0" applyNumberFormat="1" applyFill="1" applyBorder="1"/>
    <xf numFmtId="0" fontId="17" fillId="0" borderId="0" xfId="0" applyFont="1" applyAlignment="1">
      <alignment horizontal="center" wrapText="1"/>
    </xf>
    <xf numFmtId="168" fontId="0" fillId="0" borderId="0" xfId="0" applyNumberFormat="1"/>
    <xf numFmtId="169" fontId="0" fillId="0" borderId="0" xfId="1" applyNumberFormat="1" applyFont="1"/>
    <xf numFmtId="169" fontId="0" fillId="0" borderId="0" xfId="0" applyNumberFormat="1"/>
    <xf numFmtId="44" fontId="0" fillId="0" borderId="0" xfId="0" applyNumberFormat="1"/>
    <xf numFmtId="164" fontId="1" fillId="2" borderId="15" xfId="0" quotePrefix="1" applyNumberFormat="1" applyFont="1" applyFill="1" applyBorder="1" applyAlignment="1">
      <alignment horizontal="center" vertical="center"/>
    </xf>
    <xf numFmtId="0" fontId="4" fillId="0" borderId="15" xfId="0" applyFont="1" applyFill="1" applyBorder="1" applyAlignment="1">
      <alignment vertical="top" wrapText="1"/>
    </xf>
    <xf numFmtId="0" fontId="1" fillId="0" borderId="0" xfId="0" applyFont="1"/>
    <xf numFmtId="164" fontId="0" fillId="3" borderId="0" xfId="0" applyNumberFormat="1" applyFill="1"/>
    <xf numFmtId="2" fontId="0" fillId="0" borderId="0" xfId="0" applyNumberFormat="1"/>
    <xf numFmtId="0" fontId="1" fillId="0" borderId="0" xfId="0" applyFont="1" applyAlignment="1">
      <alignment horizontal="center" wrapText="1"/>
    </xf>
    <xf numFmtId="164" fontId="1" fillId="0" borderId="0" xfId="0" applyNumberFormat="1" applyFont="1" applyAlignment="1">
      <alignment horizontal="center" wrapText="1"/>
    </xf>
    <xf numFmtId="8" fontId="0" fillId="3" borderId="0" xfId="0" applyNumberFormat="1" applyFill="1"/>
    <xf numFmtId="0" fontId="4" fillId="0" borderId="15" xfId="0" applyFont="1" applyBorder="1" applyAlignment="1">
      <alignment wrapText="1"/>
    </xf>
    <xf numFmtId="166" fontId="12" fillId="2" borderId="15" xfId="0" applyNumberFormat="1" applyFont="1" applyFill="1" applyBorder="1" applyAlignment="1"/>
    <xf numFmtId="0" fontId="4" fillId="0" borderId="15" xfId="0" applyFont="1" applyFill="1" applyBorder="1" applyAlignment="1">
      <alignment wrapText="1"/>
    </xf>
    <xf numFmtId="164" fontId="0" fillId="4" borderId="9" xfId="0" applyNumberFormat="1" applyFill="1" applyBorder="1"/>
    <xf numFmtId="0" fontId="6" fillId="0" borderId="15" xfId="0" applyFont="1" applyBorder="1" applyAlignment="1">
      <alignment wrapText="1"/>
    </xf>
    <xf numFmtId="0" fontId="6" fillId="0" borderId="15" xfId="0" applyFont="1" applyFill="1" applyBorder="1" applyAlignment="1">
      <alignment wrapText="1"/>
    </xf>
    <xf numFmtId="164" fontId="0" fillId="0" borderId="0" xfId="0" applyNumberFormat="1" applyAlignment="1"/>
    <xf numFmtId="0" fontId="21" fillId="0" borderId="16" xfId="0" applyFont="1" applyBorder="1" applyAlignment="1">
      <alignment horizontal="left" wrapText="1"/>
    </xf>
    <xf numFmtId="0" fontId="21" fillId="0" borderId="18" xfId="0" applyFont="1" applyBorder="1" applyAlignment="1">
      <alignment horizontal="left" wrapText="1"/>
    </xf>
    <xf numFmtId="0" fontId="6" fillId="0" borderId="16" xfId="0" applyFont="1" applyFill="1" applyBorder="1" applyAlignment="1">
      <alignment horizontal="center" wrapText="1"/>
    </xf>
    <xf numFmtId="0" fontId="6" fillId="0" borderId="17" xfId="0" applyFont="1" applyFill="1" applyBorder="1" applyAlignment="1">
      <alignment horizontal="center" wrapText="1"/>
    </xf>
    <xf numFmtId="0" fontId="6" fillId="0" borderId="18" xfId="0" applyFont="1" applyFill="1" applyBorder="1" applyAlignment="1">
      <alignment horizontal="center" wrapText="1"/>
    </xf>
    <xf numFmtId="0" fontId="6" fillId="0" borderId="0" xfId="0" applyFont="1" applyAlignment="1">
      <alignment horizontal="center" wrapText="1"/>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11" fillId="0" borderId="0" xfId="0" applyFont="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000" b="1"/>
              <a:t>Cash flow 35 years</a:t>
            </a:r>
          </a:p>
        </c:rich>
      </c:tx>
      <c:layout/>
    </c:title>
    <c:plotArea>
      <c:layout>
        <c:manualLayout>
          <c:layoutTarget val="inner"/>
          <c:xMode val="edge"/>
          <c:yMode val="edge"/>
          <c:x val="0.15968465690422576"/>
          <c:y val="0.10801431639226915"/>
          <c:w val="0.82392381280208826"/>
          <c:h val="0.83086232402767835"/>
        </c:manualLayout>
      </c:layout>
      <c:lineChart>
        <c:grouping val="standard"/>
        <c:ser>
          <c:idx val="0"/>
          <c:order val="0"/>
          <c:tx>
            <c:strRef>
              <c:f>summary!$C$3</c:f>
              <c:strCache>
                <c:ptCount val="1"/>
                <c:pt idx="0">
                  <c:v>Income</c:v>
                </c:pt>
              </c:strCache>
            </c:strRef>
          </c:tx>
          <c:spPr>
            <a:ln w="25400">
              <a:solidFill>
                <a:srgbClr val="3366FF"/>
              </a:solidFill>
              <a:prstDash val="solid"/>
            </a:ln>
          </c:spPr>
          <c:marker>
            <c:symbol val="none"/>
          </c:marker>
          <c:cat>
            <c:numRef>
              <c:f>summary!$A$4:$A$38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summary!$C$4:$C$38</c:f>
              <c:numCache>
                <c:formatCode>"$"#,##0</c:formatCode>
                <c:ptCount val="35"/>
                <c:pt idx="0">
                  <c:v>73344.804905259167</c:v>
                </c:pt>
                <c:pt idx="1">
                  <c:v>75914.540668024172</c:v>
                </c:pt>
                <c:pt idx="2">
                  <c:v>78749.01892737727</c:v>
                </c:pt>
                <c:pt idx="3">
                  <c:v>81890.183237368459</c:v>
                </c:pt>
                <c:pt idx="4">
                  <c:v>85772.756754433183</c:v>
                </c:pt>
                <c:pt idx="5">
                  <c:v>90767.344141299138</c:v>
                </c:pt>
                <c:pt idx="6">
                  <c:v>97122.141718322411</c:v>
                </c:pt>
                <c:pt idx="7">
                  <c:v>103892.57048544401</c:v>
                </c:pt>
                <c:pt idx="8">
                  <c:v>110065.2881231377</c:v>
                </c:pt>
                <c:pt idx="9">
                  <c:v>115388.38525566718</c:v>
                </c:pt>
                <c:pt idx="10">
                  <c:v>120643.63606709382</c:v>
                </c:pt>
                <c:pt idx="11">
                  <c:v>126479.23821843651</c:v>
                </c:pt>
                <c:pt idx="12">
                  <c:v>132944.24768386054</c:v>
                </c:pt>
                <c:pt idx="13">
                  <c:v>139641.85492921193</c:v>
                </c:pt>
                <c:pt idx="14">
                  <c:v>146107.68631442951</c:v>
                </c:pt>
                <c:pt idx="15">
                  <c:v>152261.76706624945</c:v>
                </c:pt>
                <c:pt idx="16">
                  <c:v>159366.57679075032</c:v>
                </c:pt>
                <c:pt idx="17">
                  <c:v>168575.64679704051</c:v>
                </c:pt>
                <c:pt idx="18">
                  <c:v>180181.0908562445</c:v>
                </c:pt>
                <c:pt idx="19">
                  <c:v>192983.63548105385</c:v>
                </c:pt>
                <c:pt idx="20">
                  <c:v>206028.86231618191</c:v>
                </c:pt>
                <c:pt idx="21">
                  <c:v>219247.73402025906</c:v>
                </c:pt>
                <c:pt idx="22">
                  <c:v>231755.95291437936</c:v>
                </c:pt>
                <c:pt idx="23">
                  <c:v>242605.41652756371</c:v>
                </c:pt>
                <c:pt idx="24">
                  <c:v>251460.94574585417</c:v>
                </c:pt>
                <c:pt idx="25">
                  <c:v>259846.37375628186</c:v>
                </c:pt>
                <c:pt idx="26">
                  <c:v>269078.51427029638</c:v>
                </c:pt>
                <c:pt idx="27">
                  <c:v>279232.09114573349</c:v>
                </c:pt>
                <c:pt idx="28">
                  <c:v>289362.70034932432</c:v>
                </c:pt>
                <c:pt idx="29">
                  <c:v>298535.12789156521</c:v>
                </c:pt>
                <c:pt idx="30">
                  <c:v>306618.94413489965</c:v>
                </c:pt>
                <c:pt idx="31">
                  <c:v>313917.68247399176</c:v>
                </c:pt>
                <c:pt idx="32">
                  <c:v>321011.81370956451</c:v>
                </c:pt>
                <c:pt idx="33">
                  <c:v>327900.74774182937</c:v>
                </c:pt>
                <c:pt idx="34">
                  <c:v>333315.70698416868</c:v>
                </c:pt>
              </c:numCache>
            </c:numRef>
          </c:val>
          <c:smooth val="1"/>
        </c:ser>
        <c:ser>
          <c:idx val="1"/>
          <c:order val="1"/>
          <c:tx>
            <c:strRef>
              <c:f>summary!$D$3</c:f>
              <c:strCache>
                <c:ptCount val="1"/>
                <c:pt idx="0">
                  <c:v>Expense</c:v>
                </c:pt>
              </c:strCache>
            </c:strRef>
          </c:tx>
          <c:spPr>
            <a:ln w="25400">
              <a:solidFill>
                <a:srgbClr val="FF00FF"/>
              </a:solidFill>
              <a:prstDash val="solid"/>
            </a:ln>
          </c:spPr>
          <c:marker>
            <c:symbol val="none"/>
          </c:marker>
          <c:cat>
            <c:numRef>
              <c:f>summary!$A$4:$A$38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summary!$D$4:$D$38</c:f>
              <c:numCache>
                <c:formatCode>"$"#,##0</c:formatCode>
                <c:ptCount val="35"/>
                <c:pt idx="0">
                  <c:v>67687.222673827418</c:v>
                </c:pt>
                <c:pt idx="1">
                  <c:v>95310.640263593741</c:v>
                </c:pt>
                <c:pt idx="2">
                  <c:v>88368.144117815697</c:v>
                </c:pt>
                <c:pt idx="3">
                  <c:v>93913.350299860045</c:v>
                </c:pt>
                <c:pt idx="4">
                  <c:v>101139.17824875202</c:v>
                </c:pt>
                <c:pt idx="5">
                  <c:v>106395.50112482265</c:v>
                </c:pt>
                <c:pt idx="6">
                  <c:v>122120.94310786181</c:v>
                </c:pt>
                <c:pt idx="7">
                  <c:v>117340.94458179754</c:v>
                </c:pt>
                <c:pt idx="8">
                  <c:v>126434.16984404364</c:v>
                </c:pt>
                <c:pt idx="9">
                  <c:v>154735.08190721576</c:v>
                </c:pt>
                <c:pt idx="10">
                  <c:v>147102.30034207989</c:v>
                </c:pt>
                <c:pt idx="11">
                  <c:v>156665.44558198439</c:v>
                </c:pt>
                <c:pt idx="12">
                  <c:v>156238.6148837677</c:v>
                </c:pt>
                <c:pt idx="13">
                  <c:v>165836.29496535644</c:v>
                </c:pt>
                <c:pt idx="14">
                  <c:v>192591.9404947623</c:v>
                </c:pt>
                <c:pt idx="15">
                  <c:v>190254.49223122874</c:v>
                </c:pt>
                <c:pt idx="16">
                  <c:v>201350.29945617207</c:v>
                </c:pt>
                <c:pt idx="17">
                  <c:v>200011.37686478923</c:v>
                </c:pt>
                <c:pt idx="18">
                  <c:v>216213.25951057835</c:v>
                </c:pt>
                <c:pt idx="19">
                  <c:v>240980.47112999615</c:v>
                </c:pt>
                <c:pt idx="20">
                  <c:v>259083.81476108564</c:v>
                </c:pt>
                <c:pt idx="21">
                  <c:v>272996.3782030032</c:v>
                </c:pt>
                <c:pt idx="22">
                  <c:v>283198.06428860332</c:v>
                </c:pt>
                <c:pt idx="23">
                  <c:v>297643.38944947469</c:v>
                </c:pt>
                <c:pt idx="24">
                  <c:v>309438.91714084952</c:v>
                </c:pt>
                <c:pt idx="25">
                  <c:v>321885.49432645744</c:v>
                </c:pt>
                <c:pt idx="26">
                  <c:v>335486.8512389129</c:v>
                </c:pt>
                <c:pt idx="27">
                  <c:v>350344.64009270148</c:v>
                </c:pt>
                <c:pt idx="28">
                  <c:v>364283.95430832927</c:v>
                </c:pt>
                <c:pt idx="29">
                  <c:v>383411.95342321828</c:v>
                </c:pt>
                <c:pt idx="30">
                  <c:v>394592.47104634962</c:v>
                </c:pt>
                <c:pt idx="31">
                  <c:v>405620.41045379988</c:v>
                </c:pt>
                <c:pt idx="32">
                  <c:v>416682.46707340947</c:v>
                </c:pt>
                <c:pt idx="33">
                  <c:v>427773.30374064663</c:v>
                </c:pt>
                <c:pt idx="34">
                  <c:v>435600.36020175793</c:v>
                </c:pt>
              </c:numCache>
            </c:numRef>
          </c:val>
          <c:smooth val="1"/>
        </c:ser>
        <c:ser>
          <c:idx val="2"/>
          <c:order val="2"/>
          <c:tx>
            <c:strRef>
              <c:f>summary!$E$3</c:f>
              <c:strCache>
                <c:ptCount val="1"/>
                <c:pt idx="0">
                  <c:v>Net Worth</c:v>
                </c:pt>
              </c:strCache>
            </c:strRef>
          </c:tx>
          <c:spPr>
            <a:ln w="38100">
              <a:solidFill>
                <a:srgbClr val="008000"/>
              </a:solidFill>
              <a:prstDash val="solid"/>
            </a:ln>
          </c:spPr>
          <c:marker>
            <c:symbol val="none"/>
          </c:marker>
          <c:cat>
            <c:numRef>
              <c:f>summary!$A$4:$A$38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summary!$E$4:$E$38</c:f>
              <c:numCache>
                <c:formatCode>"$"#,##0_);[Red]\("$"#,##0\)</c:formatCode>
                <c:ptCount val="35"/>
                <c:pt idx="0">
                  <c:v>725716.68762365286</c:v>
                </c:pt>
                <c:pt idx="1">
                  <c:v>719349.76279780827</c:v>
                </c:pt>
                <c:pt idx="2">
                  <c:v>743082.83978286153</c:v>
                </c:pt>
                <c:pt idx="3">
                  <c:v>748555.20074352354</c:v>
                </c:pt>
                <c:pt idx="4">
                  <c:v>752688.60556584026</c:v>
                </c:pt>
                <c:pt idx="5">
                  <c:v>760753.67376829602</c:v>
                </c:pt>
                <c:pt idx="6">
                  <c:v>752204.36638450401</c:v>
                </c:pt>
                <c:pt idx="7">
                  <c:v>766276.05247098766</c:v>
                </c:pt>
                <c:pt idx="8">
                  <c:v>764662.20377763791</c:v>
                </c:pt>
                <c:pt idx="9">
                  <c:v>734616.00276418589</c:v>
                </c:pt>
                <c:pt idx="10">
                  <c:v>747453.41298723547</c:v>
                </c:pt>
                <c:pt idx="11">
                  <c:v>747917.21224837168</c:v>
                </c:pt>
                <c:pt idx="12">
                  <c:v>767056.9678945085</c:v>
                </c:pt>
                <c:pt idx="13">
                  <c:v>766739.85407063435</c:v>
                </c:pt>
                <c:pt idx="14">
                  <c:v>765750.59197172557</c:v>
                </c:pt>
                <c:pt idx="15">
                  <c:v>782140.52628705895</c:v>
                </c:pt>
                <c:pt idx="16">
                  <c:v>795562.28958798747</c:v>
                </c:pt>
                <c:pt idx="17">
                  <c:v>824516.30124380253</c:v>
                </c:pt>
                <c:pt idx="18">
                  <c:v>850733.77553175017</c:v>
                </c:pt>
                <c:pt idx="19">
                  <c:v>871000.09891066619</c:v>
                </c:pt>
                <c:pt idx="20">
                  <c:v>892770.31538350671</c:v>
                </c:pt>
                <c:pt idx="21">
                  <c:v>935578.2544008249</c:v>
                </c:pt>
                <c:pt idx="22">
                  <c:v>949598.87615631358</c:v>
                </c:pt>
                <c:pt idx="23">
                  <c:v>973230.88251334219</c:v>
                </c:pt>
                <c:pt idx="24">
                  <c:v>996571.41052154906</c:v>
                </c:pt>
                <c:pt idx="25">
                  <c:v>1015337.616507658</c:v>
                </c:pt>
                <c:pt idx="26">
                  <c:v>1028678.2898128973</c:v>
                </c:pt>
                <c:pt idx="27">
                  <c:v>1048740.3681963019</c:v>
                </c:pt>
                <c:pt idx="28">
                  <c:v>1060067.1698654988</c:v>
                </c:pt>
                <c:pt idx="29">
                  <c:v>1071338.2922973782</c:v>
                </c:pt>
                <c:pt idx="30">
                  <c:v>1094909.2428257051</c:v>
                </c:pt>
                <c:pt idx="31">
                  <c:v>1121638.8722602455</c:v>
                </c:pt>
                <c:pt idx="32">
                  <c:v>1126331.5130163282</c:v>
                </c:pt>
                <c:pt idx="33">
                  <c:v>1136534.9479936005</c:v>
                </c:pt>
                <c:pt idx="34">
                  <c:v>1138797.81519362</c:v>
                </c:pt>
              </c:numCache>
            </c:numRef>
          </c:val>
          <c:smooth val="1"/>
        </c:ser>
        <c:ser>
          <c:idx val="3"/>
          <c:order val="3"/>
          <c:tx>
            <c:strRef>
              <c:f>summary!$F$3</c:f>
              <c:strCache>
                <c:ptCount val="1"/>
                <c:pt idx="0">
                  <c:v>Cash Balance</c:v>
                </c:pt>
              </c:strCache>
            </c:strRef>
          </c:tx>
          <c:spPr>
            <a:ln w="38100">
              <a:solidFill>
                <a:srgbClr val="800000"/>
              </a:solidFill>
              <a:prstDash val="solid"/>
            </a:ln>
          </c:spPr>
          <c:marker>
            <c:symbol val="none"/>
          </c:marker>
          <c:cat>
            <c:numRef>
              <c:f>summary!$A$4:$A$38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summary!$F$4:$F$38</c:f>
              <c:numCache>
                <c:formatCode>"$"#,##0_);[Red]\("$"#,##0\)</c:formatCode>
                <c:ptCount val="35"/>
                <c:pt idx="0">
                  <c:v>25000</c:v>
                </c:pt>
                <c:pt idx="1">
                  <c:v>30657.582231431748</c:v>
                </c:pt>
                <c:pt idx="2">
                  <c:v>11261.482635862179</c:v>
                </c:pt>
                <c:pt idx="3">
                  <c:v>1642.3574454237532</c:v>
                </c:pt>
                <c:pt idx="4">
                  <c:v>-10380.809617067833</c:v>
                </c:pt>
                <c:pt idx="5">
                  <c:v>-25747.231111386674</c:v>
                </c:pt>
                <c:pt idx="6">
                  <c:v>-41375.388094910188</c:v>
                </c:pt>
                <c:pt idx="7">
                  <c:v>-66374.189484449584</c:v>
                </c:pt>
                <c:pt idx="8">
                  <c:v>-79822.563580803107</c:v>
                </c:pt>
                <c:pt idx="9">
                  <c:v>-96191.445301709056</c:v>
                </c:pt>
                <c:pt idx="10">
                  <c:v>-135538.14195325764</c:v>
                </c:pt>
                <c:pt idx="11">
                  <c:v>-161996.80622824372</c:v>
                </c:pt>
                <c:pt idx="12">
                  <c:v>-192183.01359179159</c:v>
                </c:pt>
                <c:pt idx="13">
                  <c:v>-215477.38079169876</c:v>
                </c:pt>
                <c:pt idx="14">
                  <c:v>-241671.82082784327</c:v>
                </c:pt>
                <c:pt idx="15">
                  <c:v>-288156.07500817603</c:v>
                </c:pt>
                <c:pt idx="16">
                  <c:v>-326148.80017315532</c:v>
                </c:pt>
                <c:pt idx="17">
                  <c:v>-368132.52283857705</c:v>
                </c:pt>
                <c:pt idx="18">
                  <c:v>-399568.25290632574</c:v>
                </c:pt>
                <c:pt idx="19">
                  <c:v>-435600.4215606596</c:v>
                </c:pt>
                <c:pt idx="20">
                  <c:v>-483597.25720960193</c:v>
                </c:pt>
                <c:pt idx="21">
                  <c:v>-536652.2096545056</c:v>
                </c:pt>
                <c:pt idx="22">
                  <c:v>-590400.8538372498</c:v>
                </c:pt>
                <c:pt idx="23">
                  <c:v>-641842.96521147375</c:v>
                </c:pt>
                <c:pt idx="24">
                  <c:v>-696880.9381333848</c:v>
                </c:pt>
                <c:pt idx="25">
                  <c:v>-754858.90952838014</c:v>
                </c:pt>
                <c:pt idx="26">
                  <c:v>-816898.03009855573</c:v>
                </c:pt>
                <c:pt idx="27">
                  <c:v>-883306.36706717219</c:v>
                </c:pt>
                <c:pt idx="28">
                  <c:v>-954418.91601414024</c:v>
                </c:pt>
                <c:pt idx="29">
                  <c:v>-1029340.1699731452</c:v>
                </c:pt>
                <c:pt idx="30">
                  <c:v>-1114216.9955047984</c:v>
                </c:pt>
                <c:pt idx="31">
                  <c:v>-1202190.5224162485</c:v>
                </c:pt>
                <c:pt idx="32">
                  <c:v>-1293893.2503960566</c:v>
                </c:pt>
                <c:pt idx="33">
                  <c:v>-1389563.9037599014</c:v>
                </c:pt>
                <c:pt idx="34">
                  <c:v>-1489436.4597587187</c:v>
                </c:pt>
              </c:numCache>
            </c:numRef>
          </c:val>
          <c:smooth val="1"/>
        </c:ser>
        <c:ser>
          <c:idx val="4"/>
          <c:order val="4"/>
          <c:tx>
            <c:strRef>
              <c:f>Worth!$I$2</c:f>
              <c:strCache>
                <c:ptCount val="1"/>
                <c:pt idx="0">
                  <c:v>Liquid worth</c:v>
                </c:pt>
              </c:strCache>
            </c:strRef>
          </c:tx>
          <c:spPr>
            <a:ln>
              <a:prstDash val="sysDash"/>
            </a:ln>
          </c:spPr>
          <c:marker>
            <c:symbol val="none"/>
          </c:marker>
          <c:cat>
            <c:numRef>
              <c:f>summary!$A$4:$A$38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Worth!$I$3:$I$37</c:f>
              <c:numCache>
                <c:formatCode>"$"#,##0</c:formatCode>
                <c:ptCount val="35"/>
                <c:pt idx="0">
                  <c:v>350059.10539222119</c:v>
                </c:pt>
                <c:pt idx="1">
                  <c:v>357522.47676746524</c:v>
                </c:pt>
                <c:pt idx="2">
                  <c:v>362058.93586149602</c:v>
                </c:pt>
                <c:pt idx="3">
                  <c:v>363457.95348681114</c:v>
                </c:pt>
                <c:pt idx="4">
                  <c:v>359894.74668235204</c:v>
                </c:pt>
                <c:pt idx="5">
                  <c:v>352245.71467163134</c:v>
                </c:pt>
                <c:pt idx="6">
                  <c:v>340728.58923528565</c:v>
                </c:pt>
                <c:pt idx="7">
                  <c:v>330078.62506932823</c:v>
                </c:pt>
                <c:pt idx="8">
                  <c:v>319136.93460892333</c:v>
                </c:pt>
                <c:pt idx="9">
                  <c:v>307910.24496215332</c:v>
                </c:pt>
                <c:pt idx="10">
                  <c:v>296221.82286379056</c:v>
                </c:pt>
                <c:pt idx="11">
                  <c:v>287280.13249494403</c:v>
                </c:pt>
                <c:pt idx="12">
                  <c:v>280930.72482631891</c:v>
                </c:pt>
                <c:pt idx="13">
                  <c:v>282282.92179963592</c:v>
                </c:pt>
                <c:pt idx="14">
                  <c:v>285435.98664444906</c:v>
                </c:pt>
                <c:pt idx="15">
                  <c:v>290474.10849569121</c:v>
                </c:pt>
                <c:pt idx="16">
                  <c:v>293697.21120507648</c:v>
                </c:pt>
                <c:pt idx="17">
                  <c:v>301450.17862668209</c:v>
                </c:pt>
                <c:pt idx="18">
                  <c:v>313578.75923275546</c:v>
                </c:pt>
                <c:pt idx="19">
                  <c:v>328197.96588925261</c:v>
                </c:pt>
                <c:pt idx="20">
                  <c:v>342458.46241122484</c:v>
                </c:pt>
                <c:pt idx="21">
                  <c:v>356223.55319228047</c:v>
                </c:pt>
                <c:pt idx="22">
                  <c:v>365328.29296393157</c:v>
                </c:pt>
                <c:pt idx="23">
                  <c:v>370194.47064470698</c:v>
                </c:pt>
                <c:pt idx="24">
                  <c:v>370579.56268600334</c:v>
                </c:pt>
                <c:pt idx="25">
                  <c:v>375414.17908399738</c:v>
                </c:pt>
                <c:pt idx="26">
                  <c:v>381233.2420190908</c:v>
                </c:pt>
                <c:pt idx="27">
                  <c:v>388036.18198534974</c:v>
                </c:pt>
                <c:pt idx="28">
                  <c:v>393604.31114066287</c:v>
                </c:pt>
                <c:pt idx="29">
                  <c:v>402421.91330048541</c:v>
                </c:pt>
                <c:pt idx="30">
                  <c:v>414517.81363598909</c:v>
                </c:pt>
                <c:pt idx="31">
                  <c:v>420528.03031557181</c:v>
                </c:pt>
                <c:pt idx="32">
                  <c:v>418298.75292849005</c:v>
                </c:pt>
                <c:pt idx="33">
                  <c:v>407851.95703641482</c:v>
                </c:pt>
                <c:pt idx="34">
                  <c:v>397534.32856842724</c:v>
                </c:pt>
              </c:numCache>
            </c:numRef>
          </c:val>
        </c:ser>
        <c:marker val="1"/>
        <c:axId val="74907648"/>
        <c:axId val="74909184"/>
      </c:lineChart>
      <c:catAx>
        <c:axId val="7490764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4909184"/>
        <c:crosses val="autoZero"/>
        <c:auto val="1"/>
        <c:lblAlgn val="ctr"/>
        <c:lblOffset val="100"/>
        <c:tickLblSkip val="2"/>
        <c:tickMarkSkip val="1"/>
      </c:catAx>
      <c:valAx>
        <c:axId val="74909184"/>
        <c:scaling>
          <c:orientation val="minMax"/>
          <c:max val="2000000"/>
          <c:min val="-1000000"/>
        </c:scaling>
        <c:axPos val="l"/>
        <c:majorGridlines>
          <c:spPr>
            <a:ln w="3175">
              <a:solidFill>
                <a:srgbClr val="000000"/>
              </a:solidFill>
              <a:prstDash val="solid"/>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4907648"/>
        <c:crosses val="autoZero"/>
        <c:crossBetween val="between"/>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legend>
      <c:legendPos val="r"/>
      <c:layout>
        <c:manualLayout>
          <c:xMode val="edge"/>
          <c:yMode val="edge"/>
          <c:x val="0.1839712385678566"/>
          <c:y val="0.11566022429014555"/>
          <c:w val="0.20224660442034972"/>
          <c:h val="0.237796548158752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Cash flow 1st 10 years</a:t>
            </a:r>
          </a:p>
        </c:rich>
      </c:tx>
      <c:layout>
        <c:manualLayout>
          <c:xMode val="edge"/>
          <c:yMode val="edge"/>
          <c:x val="0.36851910177894698"/>
          <c:y val="3.6303630363036306E-2"/>
        </c:manualLayout>
      </c:layout>
      <c:spPr>
        <a:noFill/>
        <a:ln w="25400">
          <a:noFill/>
        </a:ln>
      </c:spPr>
    </c:title>
    <c:plotArea>
      <c:layout>
        <c:manualLayout>
          <c:layoutTarget val="inner"/>
          <c:xMode val="edge"/>
          <c:yMode val="edge"/>
          <c:x val="0.12962986405863627"/>
          <c:y val="0.12211260478742776"/>
          <c:w val="0.80740886756522634"/>
          <c:h val="0.83168584882248164"/>
        </c:manualLayout>
      </c:layout>
      <c:lineChart>
        <c:grouping val="standard"/>
        <c:ser>
          <c:idx val="0"/>
          <c:order val="0"/>
          <c:tx>
            <c:strRef>
              <c:f>summary!$C$3</c:f>
              <c:strCache>
                <c:ptCount val="1"/>
                <c:pt idx="0">
                  <c:v>Income</c:v>
                </c:pt>
              </c:strCache>
            </c:strRef>
          </c:tx>
          <c:spPr>
            <a:ln w="25400">
              <a:solidFill>
                <a:srgbClr val="3366FF"/>
              </a:solidFill>
              <a:prstDash val="solid"/>
            </a:ln>
          </c:spPr>
          <c:marker>
            <c:symbol val="none"/>
          </c:marker>
          <c:cat>
            <c:numRef>
              <c:f>summary!$A$4:$A$13</c:f>
              <c:numCache>
                <c:formatCode>General</c:formatCode>
                <c:ptCount val="10"/>
                <c:pt idx="0">
                  <c:v>64</c:v>
                </c:pt>
                <c:pt idx="1">
                  <c:v>65</c:v>
                </c:pt>
                <c:pt idx="2">
                  <c:v>66</c:v>
                </c:pt>
                <c:pt idx="3">
                  <c:v>67</c:v>
                </c:pt>
                <c:pt idx="4">
                  <c:v>68</c:v>
                </c:pt>
                <c:pt idx="5">
                  <c:v>69</c:v>
                </c:pt>
                <c:pt idx="6">
                  <c:v>70</c:v>
                </c:pt>
                <c:pt idx="7">
                  <c:v>71</c:v>
                </c:pt>
                <c:pt idx="8">
                  <c:v>72</c:v>
                </c:pt>
                <c:pt idx="9">
                  <c:v>73</c:v>
                </c:pt>
              </c:numCache>
            </c:numRef>
          </c:cat>
          <c:val>
            <c:numRef>
              <c:f>summary!$C$4:$C$13</c:f>
              <c:numCache>
                <c:formatCode>"$"#,##0</c:formatCode>
                <c:ptCount val="10"/>
                <c:pt idx="0">
                  <c:v>73344.804905259167</c:v>
                </c:pt>
                <c:pt idx="1">
                  <c:v>75914.540668024172</c:v>
                </c:pt>
                <c:pt idx="2">
                  <c:v>78749.01892737727</c:v>
                </c:pt>
                <c:pt idx="3">
                  <c:v>81890.183237368459</c:v>
                </c:pt>
                <c:pt idx="4">
                  <c:v>85772.756754433183</c:v>
                </c:pt>
                <c:pt idx="5">
                  <c:v>90767.344141299138</c:v>
                </c:pt>
                <c:pt idx="6">
                  <c:v>97122.141718322411</c:v>
                </c:pt>
                <c:pt idx="7">
                  <c:v>103892.57048544401</c:v>
                </c:pt>
                <c:pt idx="8">
                  <c:v>110065.2881231377</c:v>
                </c:pt>
                <c:pt idx="9">
                  <c:v>115388.38525566718</c:v>
                </c:pt>
              </c:numCache>
            </c:numRef>
          </c:val>
          <c:smooth val="1"/>
        </c:ser>
        <c:ser>
          <c:idx val="1"/>
          <c:order val="1"/>
          <c:tx>
            <c:strRef>
              <c:f>summary!$D$3</c:f>
              <c:strCache>
                <c:ptCount val="1"/>
                <c:pt idx="0">
                  <c:v>Expense</c:v>
                </c:pt>
              </c:strCache>
            </c:strRef>
          </c:tx>
          <c:spPr>
            <a:ln w="25400">
              <a:solidFill>
                <a:srgbClr val="FF00FF"/>
              </a:solidFill>
              <a:prstDash val="solid"/>
            </a:ln>
          </c:spPr>
          <c:marker>
            <c:symbol val="none"/>
          </c:marker>
          <c:cat>
            <c:numRef>
              <c:f>summary!$A$4:$A$13</c:f>
              <c:numCache>
                <c:formatCode>General</c:formatCode>
                <c:ptCount val="10"/>
                <c:pt idx="0">
                  <c:v>64</c:v>
                </c:pt>
                <c:pt idx="1">
                  <c:v>65</c:v>
                </c:pt>
                <c:pt idx="2">
                  <c:v>66</c:v>
                </c:pt>
                <c:pt idx="3">
                  <c:v>67</c:v>
                </c:pt>
                <c:pt idx="4">
                  <c:v>68</c:v>
                </c:pt>
                <c:pt idx="5">
                  <c:v>69</c:v>
                </c:pt>
                <c:pt idx="6">
                  <c:v>70</c:v>
                </c:pt>
                <c:pt idx="7">
                  <c:v>71</c:v>
                </c:pt>
                <c:pt idx="8">
                  <c:v>72</c:v>
                </c:pt>
                <c:pt idx="9">
                  <c:v>73</c:v>
                </c:pt>
              </c:numCache>
            </c:numRef>
          </c:cat>
          <c:val>
            <c:numRef>
              <c:f>summary!$D$4:$D$13</c:f>
              <c:numCache>
                <c:formatCode>"$"#,##0</c:formatCode>
                <c:ptCount val="10"/>
                <c:pt idx="0">
                  <c:v>67687.222673827418</c:v>
                </c:pt>
                <c:pt idx="1">
                  <c:v>95310.640263593741</c:v>
                </c:pt>
                <c:pt idx="2">
                  <c:v>88368.144117815697</c:v>
                </c:pt>
                <c:pt idx="3">
                  <c:v>93913.350299860045</c:v>
                </c:pt>
                <c:pt idx="4">
                  <c:v>101139.17824875202</c:v>
                </c:pt>
                <c:pt idx="5">
                  <c:v>106395.50112482265</c:v>
                </c:pt>
                <c:pt idx="6">
                  <c:v>122120.94310786181</c:v>
                </c:pt>
                <c:pt idx="7">
                  <c:v>117340.94458179754</c:v>
                </c:pt>
                <c:pt idx="8">
                  <c:v>126434.16984404364</c:v>
                </c:pt>
                <c:pt idx="9">
                  <c:v>154735.08190721576</c:v>
                </c:pt>
              </c:numCache>
            </c:numRef>
          </c:val>
          <c:smooth val="1"/>
        </c:ser>
        <c:ser>
          <c:idx val="2"/>
          <c:order val="2"/>
          <c:tx>
            <c:strRef>
              <c:f>summary!$F$3</c:f>
              <c:strCache>
                <c:ptCount val="1"/>
                <c:pt idx="0">
                  <c:v>Cash Balance</c:v>
                </c:pt>
              </c:strCache>
            </c:strRef>
          </c:tx>
          <c:spPr>
            <a:ln w="38100">
              <a:solidFill>
                <a:srgbClr val="993300"/>
              </a:solidFill>
              <a:prstDash val="solid"/>
            </a:ln>
          </c:spPr>
          <c:marker>
            <c:symbol val="none"/>
          </c:marker>
          <c:cat>
            <c:numRef>
              <c:f>summary!$A$4:$A$13</c:f>
              <c:numCache>
                <c:formatCode>General</c:formatCode>
                <c:ptCount val="10"/>
                <c:pt idx="0">
                  <c:v>64</c:v>
                </c:pt>
                <c:pt idx="1">
                  <c:v>65</c:v>
                </c:pt>
                <c:pt idx="2">
                  <c:v>66</c:v>
                </c:pt>
                <c:pt idx="3">
                  <c:v>67</c:v>
                </c:pt>
                <c:pt idx="4">
                  <c:v>68</c:v>
                </c:pt>
                <c:pt idx="5">
                  <c:v>69</c:v>
                </c:pt>
                <c:pt idx="6">
                  <c:v>70</c:v>
                </c:pt>
                <c:pt idx="7">
                  <c:v>71</c:v>
                </c:pt>
                <c:pt idx="8">
                  <c:v>72</c:v>
                </c:pt>
                <c:pt idx="9">
                  <c:v>73</c:v>
                </c:pt>
              </c:numCache>
            </c:numRef>
          </c:cat>
          <c:val>
            <c:numRef>
              <c:f>summary!$F$4:$F$13</c:f>
              <c:numCache>
                <c:formatCode>"$"#,##0_);[Red]\("$"#,##0\)</c:formatCode>
                <c:ptCount val="10"/>
                <c:pt idx="0">
                  <c:v>25000</c:v>
                </c:pt>
                <c:pt idx="1">
                  <c:v>30657.582231431748</c:v>
                </c:pt>
                <c:pt idx="2">
                  <c:v>11261.482635862179</c:v>
                </c:pt>
                <c:pt idx="3">
                  <c:v>1642.3574454237532</c:v>
                </c:pt>
                <c:pt idx="4">
                  <c:v>-10380.809617067833</c:v>
                </c:pt>
                <c:pt idx="5">
                  <c:v>-25747.231111386674</c:v>
                </c:pt>
                <c:pt idx="6">
                  <c:v>-41375.388094910188</c:v>
                </c:pt>
                <c:pt idx="7">
                  <c:v>-66374.189484449584</c:v>
                </c:pt>
                <c:pt idx="8">
                  <c:v>-79822.563580803107</c:v>
                </c:pt>
                <c:pt idx="9">
                  <c:v>-96191.445301709056</c:v>
                </c:pt>
              </c:numCache>
            </c:numRef>
          </c:val>
          <c:smooth val="1"/>
        </c:ser>
        <c:marker val="1"/>
        <c:axId val="75241728"/>
        <c:axId val="75243520"/>
      </c:lineChart>
      <c:catAx>
        <c:axId val="7524172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243520"/>
        <c:crosses val="autoZero"/>
        <c:auto val="1"/>
        <c:lblAlgn val="ctr"/>
        <c:lblOffset val="100"/>
        <c:tickLblSkip val="1"/>
        <c:tickMarkSkip val="1"/>
      </c:catAx>
      <c:valAx>
        <c:axId val="75243520"/>
        <c:scaling>
          <c:orientation val="minMax"/>
          <c:max val="180000"/>
          <c:min val="-40000"/>
        </c:scaling>
        <c:axPos val="l"/>
        <c:majorGridlines>
          <c:spPr>
            <a:ln w="3175">
              <a:solidFill>
                <a:srgbClr val="000000"/>
              </a:solidFill>
              <a:prstDash val="solid"/>
            </a:ln>
          </c:spPr>
        </c:majorGridlines>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24172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legend>
      <c:legendPos val="r"/>
      <c:layout>
        <c:manualLayout>
          <c:xMode val="edge"/>
          <c:yMode val="edge"/>
          <c:x val="0.17407446291435788"/>
          <c:y val="0.15181552800949391"/>
          <c:w val="0.19444483328472925"/>
          <c:h val="0.19141983489687736"/>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Balance</a:t>
            </a:r>
          </a:p>
        </c:rich>
      </c:tx>
      <c:layout/>
    </c:title>
    <c:plotArea>
      <c:layout>
        <c:manualLayout>
          <c:layoutTarget val="inner"/>
          <c:xMode val="edge"/>
          <c:yMode val="edge"/>
          <c:x val="0.15429687500000044"/>
          <c:y val="7.1428667245271804E-2"/>
          <c:w val="0.818359375"/>
          <c:h val="0.81868241688811982"/>
        </c:manualLayout>
      </c:layout>
      <c:lineChart>
        <c:grouping val="standard"/>
        <c:ser>
          <c:idx val="0"/>
          <c:order val="0"/>
          <c:spPr>
            <a:ln w="25400">
              <a:solidFill>
                <a:srgbClr val="000080"/>
              </a:solidFill>
              <a:prstDash val="solid"/>
            </a:ln>
          </c:spPr>
          <c:marker>
            <c:symbol val="none"/>
          </c:marker>
          <c:cat>
            <c:numRef>
              <c:f>TSP!$A$4:$A$38</c:f>
              <c:numCache>
                <c:formatCode>General</c:formatCode>
                <c:ptCount val="35"/>
                <c:pt idx="0">
                  <c:v>64</c:v>
                </c:pt>
                <c:pt idx="1">
                  <c:v>65</c:v>
                </c:pt>
                <c:pt idx="2">
                  <c:v>66</c:v>
                </c:pt>
                <c:pt idx="3">
                  <c:v>67</c:v>
                </c:pt>
                <c:pt idx="4">
                  <c:v>68</c:v>
                </c:pt>
                <c:pt idx="5">
                  <c:v>69</c:v>
                </c:pt>
                <c:pt idx="6">
                  <c:v>70</c:v>
                </c:pt>
                <c:pt idx="7">
                  <c:v>71</c:v>
                </c:pt>
                <c:pt idx="8">
                  <c:v>72</c:v>
                </c:pt>
                <c:pt idx="9">
                  <c:v>73</c:v>
                </c:pt>
                <c:pt idx="10">
                  <c:v>74</c:v>
                </c:pt>
                <c:pt idx="11">
                  <c:v>75</c:v>
                </c:pt>
                <c:pt idx="12">
                  <c:v>76</c:v>
                </c:pt>
                <c:pt idx="13">
                  <c:v>77</c:v>
                </c:pt>
                <c:pt idx="14">
                  <c:v>78</c:v>
                </c:pt>
                <c:pt idx="15">
                  <c:v>79</c:v>
                </c:pt>
                <c:pt idx="16">
                  <c:v>80</c:v>
                </c:pt>
                <c:pt idx="17">
                  <c:v>81</c:v>
                </c:pt>
                <c:pt idx="18">
                  <c:v>82</c:v>
                </c:pt>
                <c:pt idx="19">
                  <c:v>83</c:v>
                </c:pt>
                <c:pt idx="20">
                  <c:v>84</c:v>
                </c:pt>
                <c:pt idx="21">
                  <c:v>85</c:v>
                </c:pt>
                <c:pt idx="22">
                  <c:v>86</c:v>
                </c:pt>
                <c:pt idx="23">
                  <c:v>87</c:v>
                </c:pt>
                <c:pt idx="24">
                  <c:v>88</c:v>
                </c:pt>
                <c:pt idx="25">
                  <c:v>89</c:v>
                </c:pt>
                <c:pt idx="26">
                  <c:v>90</c:v>
                </c:pt>
                <c:pt idx="27">
                  <c:v>91</c:v>
                </c:pt>
                <c:pt idx="28">
                  <c:v>92</c:v>
                </c:pt>
                <c:pt idx="29">
                  <c:v>93</c:v>
                </c:pt>
                <c:pt idx="30">
                  <c:v>94</c:v>
                </c:pt>
                <c:pt idx="31">
                  <c:v>95</c:v>
                </c:pt>
                <c:pt idx="32">
                  <c:v>96</c:v>
                </c:pt>
                <c:pt idx="33">
                  <c:v>97</c:v>
                </c:pt>
                <c:pt idx="34">
                  <c:v>98</c:v>
                </c:pt>
              </c:numCache>
            </c:numRef>
          </c:cat>
          <c:val>
            <c:numRef>
              <c:f>TSP!$G$4:$G$38</c:f>
              <c:numCache>
                <c:formatCode>"$"#,##0</c:formatCode>
                <c:ptCount val="35"/>
                <c:pt idx="0">
                  <c:v>210059.10539222119</c:v>
                </c:pt>
                <c:pt idx="1">
                  <c:v>218130.99157059021</c:v>
                </c:pt>
                <c:pt idx="2">
                  <c:v>223924.10326818813</c:v>
                </c:pt>
                <c:pt idx="3">
                  <c:v>227213.36017346018</c:v>
                </c:pt>
                <c:pt idx="4">
                  <c:v>226150.61729212716</c:v>
                </c:pt>
                <c:pt idx="5">
                  <c:v>220713.11051847489</c:v>
                </c:pt>
                <c:pt idx="6">
                  <c:v>211131.91230133147</c:v>
                </c:pt>
                <c:pt idx="7">
                  <c:v>202153.87066448561</c:v>
                </c:pt>
                <c:pt idx="8">
                  <c:v>193736.87874247757</c:v>
                </c:pt>
                <c:pt idx="9">
                  <c:v>185842.15017874981</c:v>
                </c:pt>
                <c:pt idx="10">
                  <c:v>178231.47287640302</c:v>
                </c:pt>
                <c:pt idx="11">
                  <c:v>170896.35609937733</c:v>
                </c:pt>
                <c:pt idx="12">
                  <c:v>163828.4875976803</c:v>
                </c:pt>
                <c:pt idx="13">
                  <c:v>162140.41157315258</c:v>
                </c:pt>
                <c:pt idx="14">
                  <c:v>165504.7905083478</c:v>
                </c:pt>
                <c:pt idx="15">
                  <c:v>174078.51718811088</c:v>
                </c:pt>
                <c:pt idx="16">
                  <c:v>183959.64456108926</c:v>
                </c:pt>
                <c:pt idx="17">
                  <c:v>195313.90115617603</c:v>
                </c:pt>
                <c:pt idx="18">
                  <c:v>208337.51646924732</c:v>
                </c:pt>
                <c:pt idx="19">
                  <c:v>221277.96507142152</c:v>
                </c:pt>
                <c:pt idx="20">
                  <c:v>234011.48970165203</c:v>
                </c:pt>
                <c:pt idx="21">
                  <c:v>246408.91630307343</c:v>
                </c:pt>
                <c:pt idx="22">
                  <c:v>254312.14296722252</c:v>
                </c:pt>
                <c:pt idx="23">
                  <c:v>257152.65486725236</c:v>
                </c:pt>
                <c:pt idx="24">
                  <c:v>254649.31496298139</c:v>
                </c:pt>
                <c:pt idx="25">
                  <c:v>255674.78897392738</c:v>
                </c:pt>
                <c:pt idx="26">
                  <c:v>260222.94928985092</c:v>
                </c:pt>
                <c:pt idx="27">
                  <c:v>268433.16393641982</c:v>
                </c:pt>
                <c:pt idx="28">
                  <c:v>278052.56616720266</c:v>
                </c:pt>
                <c:pt idx="29">
                  <c:v>289208.04890654591</c:v>
                </c:pt>
                <c:pt idx="30">
                  <c:v>302050.25346871489</c:v>
                </c:pt>
                <c:pt idx="31">
                  <c:v>307267.75900043373</c:v>
                </c:pt>
                <c:pt idx="32">
                  <c:v>304238.87956079625</c:v>
                </c:pt>
                <c:pt idx="33">
                  <c:v>292985.52373551851</c:v>
                </c:pt>
                <c:pt idx="34">
                  <c:v>281854.30976540619</c:v>
                </c:pt>
              </c:numCache>
            </c:numRef>
          </c:val>
          <c:smooth val="1"/>
        </c:ser>
        <c:marker val="1"/>
        <c:axId val="75359744"/>
        <c:axId val="75361280"/>
      </c:lineChart>
      <c:catAx>
        <c:axId val="75359744"/>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75361280"/>
        <c:crosses val="autoZero"/>
        <c:auto val="1"/>
        <c:lblAlgn val="ctr"/>
        <c:lblOffset val="100"/>
        <c:tickLblSkip val="2"/>
        <c:tickMarkSkip val="1"/>
      </c:catAx>
      <c:valAx>
        <c:axId val="75361280"/>
        <c:scaling>
          <c:orientation val="minMax"/>
          <c:max val="600000"/>
          <c:min val="0"/>
        </c:scaling>
        <c:axPos val="l"/>
        <c:majorGridlines>
          <c:spPr>
            <a:ln w="3175">
              <a:solidFill>
                <a:srgbClr val="000000"/>
              </a:solidFill>
              <a:prstDash val="solid"/>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5359744"/>
        <c:crosses val="autoZero"/>
        <c:crossBetween val="between"/>
        <c:majorUnit val="50000"/>
        <c:minorUnit val="10000"/>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41742286751361579"/>
          <c:y val="3.183023872679079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title>
    <c:plotArea>
      <c:layout>
        <c:manualLayout>
          <c:layoutTarget val="inner"/>
          <c:xMode val="edge"/>
          <c:yMode val="edge"/>
          <c:x val="0.1578947368421072"/>
          <c:y val="0.11671087533156499"/>
          <c:w val="0.81669691470054462"/>
          <c:h val="0.75596816976127257"/>
        </c:manualLayout>
      </c:layout>
      <c:lineChart>
        <c:grouping val="standard"/>
        <c:ser>
          <c:idx val="0"/>
          <c:order val="0"/>
          <c:tx>
            <c:strRef>
              <c:f>'IRA &amp; svgs'!$H$1</c:f>
              <c:strCache>
                <c:ptCount val="1"/>
                <c:pt idx="0">
                  <c:v>Ending balance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'IRA &amp; svgs'!$A$1:$A$36</c:f>
              <c:strCache>
                <c:ptCount val="36"/>
                <c:pt idx="0">
                  <c:v>Yr</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strCache>
            </c:strRef>
          </c:cat>
          <c:val>
            <c:numRef>
              <c:f>'IRA &amp; svgs'!$H$2:$H$36</c:f>
              <c:numCache>
                <c:formatCode>"$"#,##0</c:formatCode>
                <c:ptCount val="35"/>
                <c:pt idx="0">
                  <c:v>139391.485196875</c:v>
                </c:pt>
                <c:pt idx="1">
                  <c:v>138134.83259330789</c:v>
                </c:pt>
                <c:pt idx="2">
                  <c:v>136244.59331335098</c:v>
                </c:pt>
                <c:pt idx="3">
                  <c:v>133744.12939022487</c:v>
                </c:pt>
                <c:pt idx="4">
                  <c:v>131532.60415315648</c:v>
                </c:pt>
                <c:pt idx="5">
                  <c:v>129596.67693395415</c:v>
                </c:pt>
                <c:pt idx="6">
                  <c:v>127924.75440484262</c:v>
                </c:pt>
                <c:pt idx="7">
                  <c:v>125400.05586644575</c:v>
                </c:pt>
                <c:pt idx="8">
                  <c:v>122068.09478340352</c:v>
                </c:pt>
                <c:pt idx="9">
                  <c:v>117990.34998738754</c:v>
                </c:pt>
                <c:pt idx="10">
                  <c:v>116383.77639556672</c:v>
                </c:pt>
                <c:pt idx="11">
                  <c:v>117102.23722863859</c:v>
                </c:pt>
                <c:pt idx="12">
                  <c:v>120142.51022648334</c:v>
                </c:pt>
                <c:pt idx="13">
                  <c:v>119931.19613610127</c:v>
                </c:pt>
                <c:pt idx="14">
                  <c:v>116395.59130758033</c:v>
                </c:pt>
                <c:pt idx="15">
                  <c:v>109737.56664398721</c:v>
                </c:pt>
                <c:pt idx="16">
                  <c:v>106136.27747050607</c:v>
                </c:pt>
                <c:pt idx="17">
                  <c:v>105241.24276350815</c:v>
                </c:pt>
                <c:pt idx="18">
                  <c:v>106920.00081783111</c:v>
                </c:pt>
                <c:pt idx="19">
                  <c:v>108446.97270957284</c:v>
                </c:pt>
                <c:pt idx="20">
                  <c:v>109814.63688920706</c:v>
                </c:pt>
                <c:pt idx="21">
                  <c:v>111016.14999670902</c:v>
                </c:pt>
                <c:pt idx="22">
                  <c:v>113041.8157774546</c:v>
                </c:pt>
                <c:pt idx="23">
                  <c:v>115930.24772302197</c:v>
                </c:pt>
                <c:pt idx="24">
                  <c:v>119739.39011006997</c:v>
                </c:pt>
                <c:pt idx="25">
                  <c:v>121010.29272923987</c:v>
                </c:pt>
                <c:pt idx="26">
                  <c:v>119603.01804892992</c:v>
                </c:pt>
                <c:pt idx="27">
                  <c:v>115551.74497346023</c:v>
                </c:pt>
                <c:pt idx="28">
                  <c:v>113213.8643939395</c:v>
                </c:pt>
                <c:pt idx="29">
                  <c:v>112467.56016727418</c:v>
                </c:pt>
                <c:pt idx="30">
                  <c:v>113260.27131513806</c:v>
                </c:pt>
                <c:pt idx="31">
                  <c:v>114059.87336769378</c:v>
                </c:pt>
                <c:pt idx="32">
                  <c:v>114866.43330089631</c:v>
                </c:pt>
                <c:pt idx="33">
                  <c:v>115680.01880302103</c:v>
                </c:pt>
                <c:pt idx="34">
                  <c:v>114298.2505116422</c:v>
                </c:pt>
              </c:numCache>
            </c:numRef>
          </c:val>
        </c:ser>
        <c:marker val="1"/>
        <c:axId val="76261248"/>
        <c:axId val="76263424"/>
      </c:lineChart>
      <c:catAx>
        <c:axId val="76261248"/>
        <c:scaling>
          <c:orientation val="minMax"/>
        </c:scaling>
        <c:axPos val="b"/>
        <c:numFmt formatCode="General" sourceLinked="1"/>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en-US"/>
          </a:p>
        </c:txPr>
        <c:crossAx val="76263424"/>
        <c:crosses val="autoZero"/>
        <c:auto val="1"/>
        <c:lblAlgn val="ctr"/>
        <c:lblOffset val="100"/>
        <c:tickLblSkip val="2"/>
        <c:tickMarkSkip val="1"/>
      </c:catAx>
      <c:valAx>
        <c:axId val="76263424"/>
        <c:scaling>
          <c:orientation val="minMax"/>
        </c:scaling>
        <c:axPos val="l"/>
        <c:majorGridlines>
          <c:spPr>
            <a:ln w="3175">
              <a:solidFill>
                <a:srgbClr val="000000"/>
              </a:solidFill>
              <a:prstDash val="solid"/>
            </a:ln>
          </c:spPr>
        </c:majorGridlines>
        <c:numFmt formatCode="&quot;$&quot;#,##0"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626124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33245416001321837"/>
          <c:y val="3.6496347047528445E-2"/>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title>
    <c:plotArea>
      <c:layout>
        <c:manualLayout>
          <c:layoutTarget val="inner"/>
          <c:xMode val="edge"/>
          <c:yMode val="edge"/>
          <c:x val="0.13720334299160941"/>
          <c:y val="0.10218996312935309"/>
          <c:w val="0.82585858377641586"/>
          <c:h val="0.77737364809115561"/>
        </c:manualLayout>
      </c:layout>
      <c:lineChart>
        <c:grouping val="standard"/>
        <c:ser>
          <c:idx val="0"/>
          <c:order val="0"/>
          <c:tx>
            <c:strRef>
              <c:f>'All Expenses'!$R$2</c:f>
              <c:strCache>
                <c:ptCount val="1"/>
                <c:pt idx="0">
                  <c:v>inflation rate used (avg 4)</c:v>
                </c:pt>
              </c:strCache>
            </c:strRef>
          </c:tx>
          <c:spPr>
            <a:ln w="25400">
              <a:solidFill>
                <a:srgbClr val="000080"/>
              </a:solidFill>
              <a:prstDash val="solid"/>
            </a:ln>
          </c:spPr>
          <c:marker>
            <c:symbol val="none"/>
          </c:marker>
          <c:val>
            <c:numRef>
              <c:f>'All Expenses'!$R$3:$R$37</c:f>
              <c:numCache>
                <c:formatCode>0.00%</c:formatCode>
                <c:ptCount val="35"/>
                <c:pt idx="0">
                  <c:v>4.7366245181332187E-2</c:v>
                </c:pt>
                <c:pt idx="1">
                  <c:v>5.3203429289797315E-2</c:v>
                </c:pt>
                <c:pt idx="2">
                  <c:v>5.9040613398262436E-2</c:v>
                </c:pt>
                <c:pt idx="3">
                  <c:v>6.4877797506727564E-2</c:v>
                </c:pt>
                <c:pt idx="4">
                  <c:v>7.9672913941179618E-2</c:v>
                </c:pt>
                <c:pt idx="5">
                  <c:v>9.4468030375631687E-2</c:v>
                </c:pt>
                <c:pt idx="6">
                  <c:v>0.10926314681008374</c:v>
                </c:pt>
                <c:pt idx="7">
                  <c:v>9.3776212225823413E-2</c:v>
                </c:pt>
                <c:pt idx="8">
                  <c:v>7.8289277641563071E-2</c:v>
                </c:pt>
                <c:pt idx="9">
                  <c:v>6.2802343057302742E-2</c:v>
                </c:pt>
                <c:pt idx="10">
                  <c:v>6.4612188197010312E-2</c:v>
                </c:pt>
                <c:pt idx="11">
                  <c:v>6.6422033336717895E-2</c:v>
                </c:pt>
                <c:pt idx="12">
                  <c:v>6.8231878476425464E-2</c:v>
                </c:pt>
                <c:pt idx="13">
                  <c:v>6.1865544856845228E-2</c:v>
                </c:pt>
                <c:pt idx="14">
                  <c:v>5.5499211237264999E-2</c:v>
                </c:pt>
                <c:pt idx="15">
                  <c:v>4.9132877617684763E-2</c:v>
                </c:pt>
                <c:pt idx="16">
                  <c:v>6.046939203059612E-2</c:v>
                </c:pt>
                <c:pt idx="17">
                  <c:v>7.1805906443507483E-2</c:v>
                </c:pt>
                <c:pt idx="18">
                  <c:v>8.3142420856418833E-2</c:v>
                </c:pt>
                <c:pt idx="19">
                  <c:v>7.9615323922621425E-2</c:v>
                </c:pt>
                <c:pt idx="20">
                  <c:v>7.6088226988824031E-2</c:v>
                </c:pt>
                <c:pt idx="21">
                  <c:v>7.2561130055026624E-2</c:v>
                </c:pt>
                <c:pt idx="22">
                  <c:v>6.1392475268267112E-2</c:v>
                </c:pt>
                <c:pt idx="23">
                  <c:v>5.02238204815076E-2</c:v>
                </c:pt>
                <c:pt idx="24">
                  <c:v>3.9055165694748088E-2</c:v>
                </c:pt>
                <c:pt idx="25">
                  <c:v>4.100222426590773E-2</c:v>
                </c:pt>
                <c:pt idx="26">
                  <c:v>4.2949282837067365E-2</c:v>
                </c:pt>
                <c:pt idx="27">
                  <c:v>4.4896341408227007E-2</c:v>
                </c:pt>
                <c:pt idx="28">
                  <c:v>3.9565999246436029E-2</c:v>
                </c:pt>
                <c:pt idx="29">
                  <c:v>3.4235657084645058E-2</c:v>
                </c:pt>
                <c:pt idx="30">
                  <c:v>2.8905314922854079E-2</c:v>
                </c:pt>
                <c:pt idx="31">
                  <c:v>2.8444730031660263E-2</c:v>
                </c:pt>
                <c:pt idx="32">
                  <c:v>2.7984145140466442E-2</c:v>
                </c:pt>
                <c:pt idx="33">
                  <c:v>2.7523560249272626E-2</c:v>
                </c:pt>
                <c:pt idx="34">
                  <c:v>1.8349040166181753E-2</c:v>
                </c:pt>
              </c:numCache>
            </c:numRef>
          </c:val>
          <c:smooth val="1"/>
        </c:ser>
        <c:marker val="1"/>
        <c:axId val="76274688"/>
        <c:axId val="76407552"/>
      </c:lineChart>
      <c:catAx>
        <c:axId val="7627468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407552"/>
        <c:crosses val="autoZero"/>
        <c:auto val="1"/>
        <c:lblAlgn val="ctr"/>
        <c:lblOffset val="100"/>
        <c:tickLblSkip val="2"/>
        <c:tickMarkSkip val="1"/>
      </c:catAx>
      <c:valAx>
        <c:axId val="7640755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74688"/>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Year1</a:t>
            </a:r>
          </a:p>
        </c:rich>
      </c:tx>
    </c:title>
    <c:plotArea>
      <c:layout/>
      <c:pieChart>
        <c:varyColors val="1"/>
        <c:ser>
          <c:idx val="0"/>
          <c:order val="0"/>
          <c:cat>
            <c:strRef>
              <c:f>'All Expenses'!$C$2:$N$2</c:f>
              <c:strCache>
                <c:ptCount val="12"/>
                <c:pt idx="0">
                  <c:v>Housing; pmt, ins, tax, maint</c:v>
                </c:pt>
                <c:pt idx="1">
                  <c:v>Medicine &amp; health ins</c:v>
                </c:pt>
                <c:pt idx="2">
                  <c:v>car</c:v>
                </c:pt>
                <c:pt idx="3">
                  <c:v>food</c:v>
                </c:pt>
                <c:pt idx="4">
                  <c:v>travel</c:v>
                </c:pt>
                <c:pt idx="5">
                  <c:v>entertainment</c:v>
                </c:pt>
                <c:pt idx="6">
                  <c:v>charity</c:v>
                </c:pt>
                <c:pt idx="7">
                  <c:v>life, LTC insur</c:v>
                </c:pt>
                <c:pt idx="8">
                  <c:v>toys</c:v>
                </c:pt>
                <c:pt idx="9">
                  <c:v>Income tax</c:v>
                </c:pt>
                <c:pt idx="10">
                  <c:v>cost due to option</c:v>
                </c:pt>
                <c:pt idx="11">
                  <c:v>misc</c:v>
                </c:pt>
              </c:strCache>
            </c:strRef>
          </c:cat>
          <c:val>
            <c:numRef>
              <c:f>'All Expenses'!$C$3:$N$3</c:f>
              <c:numCache>
                <c:formatCode>"$"#,##0</c:formatCode>
                <c:ptCount val="12"/>
                <c:pt idx="0">
                  <c:v>8397.7825538639208</c:v>
                </c:pt>
                <c:pt idx="1">
                  <c:v>10473.662451813321</c:v>
                </c:pt>
                <c:pt idx="2">
                  <c:v>8398.713546081859</c:v>
                </c:pt>
                <c:pt idx="3">
                  <c:v>10892.608949885855</c:v>
                </c:pt>
                <c:pt idx="4">
                  <c:v>4189.4649807253281</c:v>
                </c:pt>
                <c:pt idx="5">
                  <c:v>780</c:v>
                </c:pt>
                <c:pt idx="6">
                  <c:v>209.47324903626642</c:v>
                </c:pt>
                <c:pt idx="7">
                  <c:v>4800</c:v>
                </c:pt>
                <c:pt idx="8">
                  <c:v>2000</c:v>
                </c:pt>
                <c:pt idx="9">
                  <c:v>8119.2207357888747</c:v>
                </c:pt>
                <c:pt idx="10">
                  <c:v>0</c:v>
                </c:pt>
                <c:pt idx="11">
                  <c:v>9426.2962066319888</c:v>
                </c:pt>
              </c:numCache>
            </c:numRef>
          </c:val>
        </c:ser>
        <c:dLbls>
          <c:showCatName val="1"/>
          <c:showPercent val="1"/>
        </c:dLbls>
        <c:firstSliceAng val="0"/>
      </c:pieChart>
    </c:plotArea>
    <c:plotVisOnly val="1"/>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Year30</a:t>
            </a:r>
          </a:p>
        </c:rich>
      </c:tx>
    </c:title>
    <c:plotArea>
      <c:layout/>
      <c:pieChart>
        <c:varyColors val="1"/>
        <c:ser>
          <c:idx val="0"/>
          <c:order val="0"/>
          <c:cat>
            <c:strRef>
              <c:f>'All Expenses'!$C$2:$N$2</c:f>
              <c:strCache>
                <c:ptCount val="12"/>
                <c:pt idx="0">
                  <c:v>Housing; pmt, ins, tax, maint</c:v>
                </c:pt>
                <c:pt idx="1">
                  <c:v>Medicine &amp; health ins</c:v>
                </c:pt>
                <c:pt idx="2">
                  <c:v>car</c:v>
                </c:pt>
                <c:pt idx="3">
                  <c:v>food</c:v>
                </c:pt>
                <c:pt idx="4">
                  <c:v>travel</c:v>
                </c:pt>
                <c:pt idx="5">
                  <c:v>entertainment</c:v>
                </c:pt>
                <c:pt idx="6">
                  <c:v>charity</c:v>
                </c:pt>
                <c:pt idx="7">
                  <c:v>life, LTC insur</c:v>
                </c:pt>
                <c:pt idx="8">
                  <c:v>toys</c:v>
                </c:pt>
                <c:pt idx="9">
                  <c:v>Income tax</c:v>
                </c:pt>
                <c:pt idx="10">
                  <c:v>cost due to option</c:v>
                </c:pt>
                <c:pt idx="11">
                  <c:v>misc</c:v>
                </c:pt>
              </c:strCache>
            </c:strRef>
          </c:cat>
          <c:val>
            <c:numRef>
              <c:f>'All Expenses'!$C$37:$N$37</c:f>
              <c:numCache>
                <c:formatCode>"$"#,##0</c:formatCode>
                <c:ptCount val="12"/>
                <c:pt idx="0">
                  <c:v>57650.833101547636</c:v>
                </c:pt>
                <c:pt idx="1">
                  <c:v>107852.64361726295</c:v>
                </c:pt>
                <c:pt idx="2">
                  <c:v>28828.612184658774</c:v>
                </c:pt>
                <c:pt idx="3">
                  <c:v>44866.69974478137</c:v>
                </c:pt>
                <c:pt idx="4">
                  <c:v>11504.281985841388</c:v>
                </c:pt>
                <c:pt idx="5">
                  <c:v>5354.7051892308164</c:v>
                </c:pt>
                <c:pt idx="6">
                  <c:v>719.01762411508651</c:v>
                </c:pt>
                <c:pt idx="7">
                  <c:v>4800</c:v>
                </c:pt>
                <c:pt idx="8">
                  <c:v>13730.01330572004</c:v>
                </c:pt>
                <c:pt idx="9">
                  <c:v>95581.967278242111</c:v>
                </c:pt>
                <c:pt idx="10">
                  <c:v>0</c:v>
                </c:pt>
                <c:pt idx="11">
                  <c:v>64711.586170357768</c:v>
                </c:pt>
              </c:numCache>
            </c:numRef>
          </c:val>
        </c:ser>
        <c:dLbls>
          <c:showCatName val="1"/>
          <c:showPercent val="1"/>
        </c:dLbls>
        <c:firstSliceAng val="0"/>
      </c:pieChart>
    </c:plotArea>
    <c:plotVisOnly val="1"/>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323850</xdr:colOff>
      <xdr:row>15</xdr:row>
      <xdr:rowOff>0</xdr:rowOff>
    </xdr:from>
    <xdr:to>
      <xdr:col>11</xdr:col>
      <xdr:colOff>342900</xdr:colOff>
      <xdr:row>30</xdr:row>
      <xdr:rowOff>285750</xdr:rowOff>
    </xdr:to>
    <xdr:graphicFrame macro="">
      <xdr:nvGraphicFramePr>
        <xdr:cNvPr id="122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0</xdr:row>
      <xdr:rowOff>0</xdr:rowOff>
    </xdr:from>
    <xdr:to>
      <xdr:col>11</xdr:col>
      <xdr:colOff>276225</xdr:colOff>
      <xdr:row>13</xdr:row>
      <xdr:rowOff>161925</xdr:rowOff>
    </xdr:to>
    <xdr:graphicFrame macro="">
      <xdr:nvGraphicFramePr>
        <xdr:cNvPr id="1229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600074</xdr:colOff>
      <xdr:row>1</xdr:row>
      <xdr:rowOff>114300</xdr:rowOff>
    </xdr:from>
    <xdr:to>
      <xdr:col>17</xdr:col>
      <xdr:colOff>76200</xdr:colOff>
      <xdr:row>6</xdr:row>
      <xdr:rowOff>95250</xdr:rowOff>
    </xdr:to>
    <xdr:sp macro="" textlink="">
      <xdr:nvSpPr>
        <xdr:cNvPr id="2" name="TextBox 1"/>
        <xdr:cNvSpPr txBox="1"/>
      </xdr:nvSpPr>
      <xdr:spPr>
        <a:xfrm>
          <a:off x="4381499" y="923925"/>
          <a:ext cx="557212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Some reference information:</a:t>
          </a:r>
        </a:p>
        <a:p>
          <a:r>
            <a:rPr lang="en-US" sz="1100"/>
            <a:t>Medicare Part B</a:t>
          </a:r>
          <a:r>
            <a:rPr lang="en-US" sz="1100" baseline="0"/>
            <a:t> &amp; fed retiree; </a:t>
          </a:r>
          <a:r>
            <a:rPr lang="en-US" sz="1100"/>
            <a:t> http://www.fedsmith.com/article/1613/</a:t>
          </a:r>
        </a:p>
        <a:p>
          <a:r>
            <a:rPr lang="en-US" sz="1100"/>
            <a:t>Medicare Part D (drug) &amp; fed retiree;</a:t>
          </a:r>
          <a:r>
            <a:rPr lang="en-US" sz="1100" baseline="0"/>
            <a:t>  http://fehb.opm.gov/insure/medicaredrugs.asp</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76200</xdr:colOff>
      <xdr:row>5</xdr:row>
      <xdr:rowOff>9525</xdr:rowOff>
    </xdr:from>
    <xdr:to>
      <xdr:col>16</xdr:col>
      <xdr:colOff>76200</xdr:colOff>
      <xdr:row>26</xdr:row>
      <xdr:rowOff>76200</xdr:rowOff>
    </xdr:to>
    <xdr:graphicFrame macro="">
      <xdr:nvGraphicFramePr>
        <xdr:cNvPr id="308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581025</xdr:colOff>
      <xdr:row>8</xdr:row>
      <xdr:rowOff>85725</xdr:rowOff>
    </xdr:from>
    <xdr:to>
      <xdr:col>17</xdr:col>
      <xdr:colOff>342900</xdr:colOff>
      <xdr:row>30</xdr:row>
      <xdr:rowOff>114300</xdr:rowOff>
    </xdr:to>
    <xdr:graphicFrame macro="">
      <xdr:nvGraphicFramePr>
        <xdr:cNvPr id="51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657225</xdr:colOff>
      <xdr:row>8</xdr:row>
      <xdr:rowOff>114300</xdr:rowOff>
    </xdr:from>
    <xdr:to>
      <xdr:col>23</xdr:col>
      <xdr:colOff>276225</xdr:colOff>
      <xdr:row>22</xdr:row>
      <xdr:rowOff>47625</xdr:rowOff>
    </xdr:to>
    <xdr:graphicFrame macro="">
      <xdr:nvGraphicFramePr>
        <xdr:cNvPr id="1435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444499</xdr:colOff>
      <xdr:row>31</xdr:row>
      <xdr:rowOff>105834</xdr:rowOff>
    </xdr:from>
    <xdr:to>
      <xdr:col>9</xdr:col>
      <xdr:colOff>539749</xdr:colOff>
      <xdr:row>48</xdr:row>
      <xdr:rowOff>148167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455083</xdr:colOff>
      <xdr:row>31</xdr:row>
      <xdr:rowOff>52918</xdr:rowOff>
    </xdr:from>
    <xdr:to>
      <xdr:col>19</xdr:col>
      <xdr:colOff>465666</xdr:colOff>
      <xdr:row>48</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5</xdr:row>
      <xdr:rowOff>47625</xdr:rowOff>
    </xdr:from>
    <xdr:to>
      <xdr:col>16</xdr:col>
      <xdr:colOff>142875</xdr:colOff>
      <xdr:row>23</xdr:row>
      <xdr:rowOff>95250</xdr:rowOff>
    </xdr:to>
    <xdr:sp macro="" textlink="">
      <xdr:nvSpPr>
        <xdr:cNvPr id="6149" name="Text Box 5"/>
        <xdr:cNvSpPr txBox="1">
          <a:spLocks noChangeArrowheads="1"/>
        </xdr:cNvSpPr>
      </xdr:nvSpPr>
      <xdr:spPr bwMode="auto">
        <a:xfrm>
          <a:off x="6315075" y="857250"/>
          <a:ext cx="3771900" cy="2962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As you age, spending will vary depending on the type of category.  For example, travel is likely to be higher for several years just after retirement, but become less in your 70s, 80s and 90s.  The opposite might be true of medical costs.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table to the left lets you decide what those factors might be for you.  A factor of "1" means that you will spend about the same amount as for the first year.  Inflation is taken into account in the subsequent calculations and are not relevent here.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background on spending as we age, see the article by Ty Bernicke at url: http://www.fpanet.org/journal/articles/2005_Issues/jfp0605-art7.cfm.  Google Ty Bernicke to find similar articles.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466725</xdr:colOff>
      <xdr:row>3</xdr:row>
      <xdr:rowOff>76200</xdr:rowOff>
    </xdr:from>
    <xdr:to>
      <xdr:col>14</xdr:col>
      <xdr:colOff>0</xdr:colOff>
      <xdr:row>9</xdr:row>
      <xdr:rowOff>114300</xdr:rowOff>
    </xdr:to>
    <xdr:sp macro="" textlink="">
      <xdr:nvSpPr>
        <xdr:cNvPr id="2" name="TextBox 1"/>
        <xdr:cNvSpPr txBox="1"/>
      </xdr:nvSpPr>
      <xdr:spPr>
        <a:xfrm>
          <a:off x="4981575" y="885825"/>
          <a:ext cx="44100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 medicare</a:t>
          </a:r>
          <a:r>
            <a:rPr lang="en-US" sz="1100" baseline="0"/>
            <a:t> out-of-pocket expenses see examples at</a:t>
          </a:r>
        </a:p>
        <a:p>
          <a:r>
            <a:rPr lang="en-US" sz="1100"/>
            <a:t>http://www.prescotthealthandlife.com/medicare_expenses.html and</a:t>
          </a:r>
        </a:p>
        <a:p>
          <a:r>
            <a:rPr lang="en-US" sz="1100"/>
            <a:t>http://crr.bc.edu/images/stories/Briefs/ib_10-4.pdf</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161925</xdr:colOff>
      <xdr:row>32</xdr:row>
      <xdr:rowOff>123825</xdr:rowOff>
    </xdr:from>
    <xdr:to>
      <xdr:col>17</xdr:col>
      <xdr:colOff>342900</xdr:colOff>
      <xdr:row>43</xdr:row>
      <xdr:rowOff>104775</xdr:rowOff>
    </xdr:to>
    <xdr:sp macro="" textlink="">
      <xdr:nvSpPr>
        <xdr:cNvPr id="11270" name="Text Box 6"/>
        <xdr:cNvSpPr txBox="1">
          <a:spLocks noChangeArrowheads="1"/>
        </xdr:cNvSpPr>
      </xdr:nvSpPr>
      <xdr:spPr bwMode="auto">
        <a:xfrm>
          <a:off x="8724900" y="6038850"/>
          <a:ext cx="2638425" cy="1762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Exemption amount. The amount you can deduct for each exemption has increased from $3,200 in 2005 to $3,300 in </a:t>
          </a:r>
          <a:r>
            <a:rPr lang="en-US" sz="800" b="1" i="0" strike="noStrike">
              <a:solidFill>
                <a:srgbClr val="000000"/>
              </a:solidFill>
              <a:latin typeface="Arial"/>
              <a:cs typeface="Arial"/>
            </a:rPr>
            <a:t>2006</a:t>
          </a:r>
          <a:r>
            <a:rPr lang="en-US" sz="800" b="0" i="0" strike="noStrike">
              <a:solidFill>
                <a:srgbClr val="000000"/>
              </a:solidFill>
              <a:latin typeface="Arial"/>
              <a:cs typeface="Arial"/>
            </a:rPr>
            <a:t>. </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Exemption phaseout. You lose part of the benefit of your exemptions if your adjusted gross income is above a certain amount. For 2006, this phaseout begins at $112,875 for married persons filing separately; $150,500 for single individuals; $188,150 for heads of household; and $225,750 for married persons filing jointly or qualifying widow(er)s. However, beginning in 2006, you can lose no more than ⅔ of the amount of your exemptions. In other words, each exemption cannot be reduced to less than $1,100. </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editAs="oneCell">
    <xdr:from>
      <xdr:col>5</xdr:col>
      <xdr:colOff>733425</xdr:colOff>
      <xdr:row>33</xdr:row>
      <xdr:rowOff>47625</xdr:rowOff>
    </xdr:from>
    <xdr:to>
      <xdr:col>12</xdr:col>
      <xdr:colOff>314325</xdr:colOff>
      <xdr:row>43</xdr:row>
      <xdr:rowOff>142875</xdr:rowOff>
    </xdr:to>
    <xdr:pic>
      <xdr:nvPicPr>
        <xdr:cNvPr id="1132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971925" y="6124575"/>
          <a:ext cx="4229100" cy="1714500"/>
        </a:xfrm>
        <a:prstGeom prst="rect">
          <a:avLst/>
        </a:prstGeom>
        <a:noFill/>
        <a:ln w="9525">
          <a:noFill/>
          <a:miter lim="800000"/>
          <a:headEnd/>
          <a:tailEnd/>
        </a:ln>
      </xdr:spPr>
    </xdr:pic>
    <xdr:clientData/>
  </xdr:twoCellAnchor>
  <xdr:twoCellAnchor editAs="oneCell">
    <xdr:from>
      <xdr:col>11</xdr:col>
      <xdr:colOff>409575</xdr:colOff>
      <xdr:row>9</xdr:row>
      <xdr:rowOff>85725</xdr:rowOff>
    </xdr:from>
    <xdr:to>
      <xdr:col>15</xdr:col>
      <xdr:colOff>323850</xdr:colOff>
      <xdr:row>33</xdr:row>
      <xdr:rowOff>9525</xdr:rowOff>
    </xdr:to>
    <xdr:pic>
      <xdr:nvPicPr>
        <xdr:cNvPr id="11323"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7753350" y="2276475"/>
          <a:ext cx="2352675" cy="3810000"/>
        </a:xfrm>
        <a:prstGeom prst="rect">
          <a:avLst/>
        </a:prstGeom>
        <a:noFill/>
        <a:ln w="9525">
          <a:noFill/>
          <a:miter lim="800000"/>
          <a:headEnd/>
          <a:tailEnd/>
        </a:ln>
      </xdr:spPr>
    </xdr:pic>
    <xdr:clientData/>
  </xdr:twoCellAnchor>
  <xdr:twoCellAnchor editAs="oneCell">
    <xdr:from>
      <xdr:col>6</xdr:col>
      <xdr:colOff>133350</xdr:colOff>
      <xdr:row>14</xdr:row>
      <xdr:rowOff>85725</xdr:rowOff>
    </xdr:from>
    <xdr:to>
      <xdr:col>10</xdr:col>
      <xdr:colOff>419100</xdr:colOff>
      <xdr:row>28</xdr:row>
      <xdr:rowOff>123825</xdr:rowOff>
    </xdr:to>
    <xdr:pic>
      <xdr:nvPicPr>
        <xdr:cNvPr id="11324" name="Picture 52"/>
        <xdr:cNvPicPr>
          <a:picLocks noChangeAspect="1" noChangeArrowheads="1"/>
        </xdr:cNvPicPr>
      </xdr:nvPicPr>
      <xdr:blipFill>
        <a:blip xmlns:r="http://schemas.openxmlformats.org/officeDocument/2006/relationships" r:embed="rId3" cstate="print"/>
        <a:srcRect/>
        <a:stretch>
          <a:fillRect/>
        </a:stretch>
      </xdr:blipFill>
      <xdr:spPr bwMode="auto">
        <a:xfrm>
          <a:off x="4152900" y="3086100"/>
          <a:ext cx="2847975" cy="2305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enarios%20ajs/Copy%20of%20projection%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omparisons"/>
      <sheetName val="cash flow"/>
      <sheetName val="tax"/>
      <sheetName val="Chart1"/>
      <sheetName val="Monte Carlo"/>
      <sheetName val="transportation"/>
      <sheetName val="Other $"/>
      <sheetName val="savings"/>
      <sheetName val="housing"/>
      <sheetName val="FERS"/>
      <sheetName val="Rental H"/>
      <sheetName val="annuity"/>
      <sheetName val="SS alt"/>
      <sheetName val="Chart3"/>
      <sheetName val="Actuals"/>
    </sheetNames>
    <sheetDataSet>
      <sheetData sheetId="0">
        <row r="22">
          <cell r="B22">
            <v>90000</v>
          </cell>
        </row>
        <row r="28">
          <cell r="B28">
            <v>68093</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enableFormatConditionsCalculation="0">
    <tabColor indexed="52"/>
  </sheetPr>
  <dimension ref="A1:B40"/>
  <sheetViews>
    <sheetView tabSelected="1" workbookViewId="0">
      <selection activeCell="B34" sqref="B34"/>
    </sheetView>
  </sheetViews>
  <sheetFormatPr defaultRowHeight="12.75"/>
  <cols>
    <col min="1" max="1" width="9.85546875" bestFit="1" customWidth="1"/>
    <col min="2" max="2" width="64.42578125" customWidth="1"/>
    <col min="3" max="3" width="5" customWidth="1"/>
  </cols>
  <sheetData>
    <row r="1" spans="1:2" ht="13.5" thickBot="1"/>
    <row r="2" spans="1:2" ht="30" customHeight="1" thickBot="1">
      <c r="A2" s="144" t="s">
        <v>198</v>
      </c>
      <c r="B2" s="145"/>
    </row>
    <row r="3" spans="1:2">
      <c r="B3" s="118" t="s">
        <v>230</v>
      </c>
    </row>
    <row r="4" spans="1:2">
      <c r="A4" s="94">
        <v>64</v>
      </c>
      <c r="B4" s="93" t="s">
        <v>199</v>
      </c>
    </row>
    <row r="5" spans="1:2" ht="24">
      <c r="A5" s="95">
        <v>25000</v>
      </c>
      <c r="B5" s="93" t="s">
        <v>200</v>
      </c>
    </row>
    <row r="6" spans="1:2">
      <c r="A6" s="95">
        <v>200000</v>
      </c>
      <c r="B6" s="93" t="s">
        <v>206</v>
      </c>
    </row>
    <row r="7" spans="1:2">
      <c r="A7" s="96">
        <v>0.04</v>
      </c>
      <c r="B7" s="93" t="s">
        <v>232</v>
      </c>
    </row>
    <row r="8" spans="1:2">
      <c r="A8" s="96">
        <v>-0.02</v>
      </c>
      <c r="B8" s="137" t="s">
        <v>260</v>
      </c>
    </row>
    <row r="9" spans="1:2">
      <c r="A9" s="96">
        <v>0.12</v>
      </c>
      <c r="B9" s="137" t="s">
        <v>261</v>
      </c>
    </row>
    <row r="10" spans="1:2">
      <c r="A10" s="95">
        <v>140000</v>
      </c>
      <c r="B10" s="93" t="s">
        <v>201</v>
      </c>
    </row>
    <row r="11" spans="1:2">
      <c r="A11" s="96">
        <v>0.05</v>
      </c>
      <c r="B11" s="141" t="s">
        <v>207</v>
      </c>
    </row>
    <row r="12" spans="1:2" ht="15.75" customHeight="1">
      <c r="A12" s="138">
        <v>-0.01</v>
      </c>
      <c r="B12" s="137" t="s">
        <v>262</v>
      </c>
    </row>
    <row r="13" spans="1:2">
      <c r="A13" s="96">
        <v>0.09</v>
      </c>
      <c r="B13" s="137" t="s">
        <v>263</v>
      </c>
    </row>
    <row r="14" spans="1:2" ht="24">
      <c r="A14" s="95">
        <v>120000</v>
      </c>
      <c r="B14" s="93" t="s">
        <v>231</v>
      </c>
    </row>
    <row r="15" spans="1:2">
      <c r="A15" s="95">
        <v>1000</v>
      </c>
      <c r="B15" s="137" t="s">
        <v>268</v>
      </c>
    </row>
    <row r="16" spans="1:2">
      <c r="A16" s="96">
        <v>-5.0000000000000001E-3</v>
      </c>
      <c r="B16" s="93" t="s">
        <v>209</v>
      </c>
    </row>
    <row r="17" spans="1:2">
      <c r="A17" s="96">
        <v>0.04</v>
      </c>
      <c r="B17" s="93" t="s">
        <v>210</v>
      </c>
    </row>
    <row r="18" spans="1:2">
      <c r="A18" s="95">
        <v>250000</v>
      </c>
      <c r="B18" s="93" t="s">
        <v>202</v>
      </c>
    </row>
    <row r="19" spans="1:2" ht="24">
      <c r="A19" s="96">
        <v>0</v>
      </c>
      <c r="B19" s="93" t="s">
        <v>215</v>
      </c>
    </row>
    <row r="20" spans="1:2">
      <c r="A20" s="96">
        <v>0.06</v>
      </c>
      <c r="B20" s="93" t="s">
        <v>203</v>
      </c>
    </row>
    <row r="21" spans="1:2" ht="24">
      <c r="A21" s="96">
        <v>-0.01</v>
      </c>
      <c r="B21" s="93" t="s">
        <v>204</v>
      </c>
    </row>
    <row r="22" spans="1:2">
      <c r="A22" s="96">
        <v>0.03</v>
      </c>
      <c r="B22" s="93" t="s">
        <v>205</v>
      </c>
    </row>
    <row r="23" spans="1:2">
      <c r="A23" s="95">
        <v>93000</v>
      </c>
      <c r="B23" s="93" t="s">
        <v>208</v>
      </c>
    </row>
    <row r="24" spans="1:2">
      <c r="A24" s="96">
        <v>0</v>
      </c>
      <c r="B24" s="137" t="s">
        <v>238</v>
      </c>
    </row>
    <row r="25" spans="1:2">
      <c r="A25" s="96">
        <v>0.12</v>
      </c>
      <c r="B25" s="93" t="s">
        <v>237</v>
      </c>
    </row>
    <row r="26" spans="1:2">
      <c r="A26" s="103">
        <v>2100</v>
      </c>
      <c r="B26" s="93" t="s">
        <v>247</v>
      </c>
    </row>
    <row r="27" spans="1:2">
      <c r="A27" s="104">
        <v>1050</v>
      </c>
      <c r="B27" s="93" t="s">
        <v>212</v>
      </c>
    </row>
    <row r="28" spans="1:2" s="59" customFormat="1">
      <c r="A28" s="105" t="s">
        <v>211</v>
      </c>
      <c r="B28" s="93" t="s">
        <v>244</v>
      </c>
    </row>
    <row r="29" spans="1:2">
      <c r="A29" s="95">
        <v>780</v>
      </c>
      <c r="B29" s="93" t="s">
        <v>213</v>
      </c>
    </row>
    <row r="30" spans="1:2" ht="24">
      <c r="A30" s="95">
        <v>4800</v>
      </c>
      <c r="B30" s="137" t="s">
        <v>279</v>
      </c>
    </row>
    <row r="31" spans="1:2" ht="24">
      <c r="A31" s="95">
        <v>2000</v>
      </c>
      <c r="B31" s="139" t="s">
        <v>264</v>
      </c>
    </row>
    <row r="32" spans="1:2">
      <c r="A32" s="97" t="s">
        <v>211</v>
      </c>
      <c r="B32" s="142" t="s">
        <v>214</v>
      </c>
    </row>
    <row r="33" spans="1:2" ht="24">
      <c r="A33" s="95">
        <v>8018</v>
      </c>
      <c r="B33" s="139" t="s">
        <v>269</v>
      </c>
    </row>
    <row r="34" spans="1:2" ht="24">
      <c r="A34" s="95">
        <v>10000</v>
      </c>
      <c r="B34" s="139" t="s">
        <v>281</v>
      </c>
    </row>
    <row r="35" spans="1:2">
      <c r="A35" s="107" t="s">
        <v>211</v>
      </c>
      <c r="B35" s="106" t="s">
        <v>216</v>
      </c>
    </row>
    <row r="36" spans="1:2">
      <c r="A36" s="95">
        <v>4000</v>
      </c>
      <c r="B36" s="106" t="s">
        <v>243</v>
      </c>
    </row>
    <row r="37" spans="1:2">
      <c r="A37" s="107" t="s">
        <v>211</v>
      </c>
      <c r="B37" s="106" t="s">
        <v>245</v>
      </c>
    </row>
    <row r="38" spans="1:2">
      <c r="A38" s="95">
        <v>200</v>
      </c>
      <c r="B38" s="106" t="s">
        <v>246</v>
      </c>
    </row>
    <row r="39" spans="1:2">
      <c r="A39" s="119">
        <v>9000</v>
      </c>
      <c r="B39" s="106" t="s">
        <v>221</v>
      </c>
    </row>
    <row r="40" spans="1:2" ht="24">
      <c r="A40" s="129" t="s">
        <v>211</v>
      </c>
      <c r="B40" s="130" t="s">
        <v>280</v>
      </c>
    </row>
  </sheetData>
  <mergeCells count="1">
    <mergeCell ref="A2:B2"/>
  </mergeCells>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C36"/>
  <sheetViews>
    <sheetView workbookViewId="0">
      <selection activeCell="L7" sqref="L7"/>
    </sheetView>
  </sheetViews>
  <sheetFormatPr defaultRowHeight="12.75"/>
  <cols>
    <col min="1" max="1" width="7.140625" style="37" customWidth="1"/>
  </cols>
  <sheetData>
    <row r="1" spans="1:3" s="1" customFormat="1" ht="25.5">
      <c r="A1" s="1" t="s">
        <v>168</v>
      </c>
      <c r="B1" s="1" t="s">
        <v>147</v>
      </c>
      <c r="C1" s="1" t="s">
        <v>179</v>
      </c>
    </row>
    <row r="2" spans="1:3">
      <c r="A2" s="37">
        <f>'Q&amp;A'!A4</f>
        <v>64</v>
      </c>
      <c r="B2" s="28">
        <v>1</v>
      </c>
      <c r="C2" s="61">
        <v>0</v>
      </c>
    </row>
    <row r="3" spans="1:3">
      <c r="A3" s="37">
        <f>A2+1</f>
        <v>65</v>
      </c>
      <c r="B3">
        <v>2</v>
      </c>
      <c r="C3" s="61">
        <v>0</v>
      </c>
    </row>
    <row r="4" spans="1:3">
      <c r="A4" s="37">
        <f t="shared" ref="A4:A36" si="0">A3+1</f>
        <v>66</v>
      </c>
      <c r="B4" s="28">
        <v>3</v>
      </c>
      <c r="C4" s="61">
        <v>0</v>
      </c>
    </row>
    <row r="5" spans="1:3">
      <c r="A5" s="37">
        <f t="shared" si="0"/>
        <v>67</v>
      </c>
      <c r="B5">
        <v>4</v>
      </c>
      <c r="C5" s="61">
        <v>0</v>
      </c>
    </row>
    <row r="6" spans="1:3">
      <c r="A6" s="37">
        <f t="shared" si="0"/>
        <v>68</v>
      </c>
      <c r="B6" s="28">
        <v>5</v>
      </c>
      <c r="C6" s="61">
        <v>0</v>
      </c>
    </row>
    <row r="7" spans="1:3">
      <c r="A7" s="37">
        <f t="shared" si="0"/>
        <v>69</v>
      </c>
      <c r="B7">
        <v>6</v>
      </c>
      <c r="C7" s="61">
        <v>0</v>
      </c>
    </row>
    <row r="8" spans="1:3">
      <c r="A8" s="37">
        <f t="shared" si="0"/>
        <v>70</v>
      </c>
      <c r="B8" s="28">
        <v>7</v>
      </c>
      <c r="C8" s="61">
        <v>0</v>
      </c>
    </row>
    <row r="9" spans="1:3">
      <c r="A9" s="37">
        <f t="shared" si="0"/>
        <v>71</v>
      </c>
      <c r="B9">
        <v>8</v>
      </c>
      <c r="C9" s="61">
        <v>0</v>
      </c>
    </row>
    <row r="10" spans="1:3">
      <c r="A10" s="37">
        <f t="shared" si="0"/>
        <v>72</v>
      </c>
      <c r="B10" s="28">
        <v>9</v>
      </c>
      <c r="C10" s="61">
        <v>0</v>
      </c>
    </row>
    <row r="11" spans="1:3">
      <c r="A11" s="37">
        <f t="shared" si="0"/>
        <v>73</v>
      </c>
      <c r="B11">
        <v>10</v>
      </c>
      <c r="C11" s="61">
        <v>0</v>
      </c>
    </row>
    <row r="12" spans="1:3">
      <c r="A12" s="37">
        <f t="shared" si="0"/>
        <v>74</v>
      </c>
      <c r="B12" s="28">
        <v>11</v>
      </c>
      <c r="C12" s="61">
        <v>0</v>
      </c>
    </row>
    <row r="13" spans="1:3">
      <c r="A13" s="37">
        <f t="shared" si="0"/>
        <v>75</v>
      </c>
      <c r="B13">
        <v>12</v>
      </c>
      <c r="C13" s="61">
        <v>0</v>
      </c>
    </row>
    <row r="14" spans="1:3">
      <c r="A14" s="37">
        <f t="shared" si="0"/>
        <v>76</v>
      </c>
      <c r="B14" s="28">
        <v>13</v>
      </c>
      <c r="C14" s="61">
        <v>0</v>
      </c>
    </row>
    <row r="15" spans="1:3">
      <c r="A15" s="37">
        <f t="shared" si="0"/>
        <v>77</v>
      </c>
      <c r="B15">
        <v>14</v>
      </c>
      <c r="C15" s="61">
        <v>0</v>
      </c>
    </row>
    <row r="16" spans="1:3">
      <c r="A16" s="37">
        <f t="shared" si="0"/>
        <v>78</v>
      </c>
      <c r="B16" s="28">
        <v>15</v>
      </c>
      <c r="C16" s="61">
        <v>0</v>
      </c>
    </row>
    <row r="17" spans="1:3">
      <c r="A17" s="37">
        <f t="shared" si="0"/>
        <v>79</v>
      </c>
      <c r="B17">
        <v>16</v>
      </c>
      <c r="C17" s="61">
        <v>0</v>
      </c>
    </row>
    <row r="18" spans="1:3">
      <c r="A18" s="37">
        <f t="shared" si="0"/>
        <v>80</v>
      </c>
      <c r="B18" s="28">
        <v>17</v>
      </c>
      <c r="C18" s="61">
        <v>0</v>
      </c>
    </row>
    <row r="19" spans="1:3">
      <c r="A19" s="37">
        <f t="shared" si="0"/>
        <v>81</v>
      </c>
      <c r="B19">
        <v>18</v>
      </c>
      <c r="C19" s="61">
        <v>0</v>
      </c>
    </row>
    <row r="20" spans="1:3">
      <c r="A20" s="37">
        <f t="shared" si="0"/>
        <v>82</v>
      </c>
      <c r="B20" s="28">
        <v>19</v>
      </c>
      <c r="C20" s="61">
        <v>0</v>
      </c>
    </row>
    <row r="21" spans="1:3">
      <c r="A21" s="37">
        <f t="shared" si="0"/>
        <v>83</v>
      </c>
      <c r="B21">
        <v>20</v>
      </c>
      <c r="C21" s="61">
        <v>0</v>
      </c>
    </row>
    <row r="22" spans="1:3">
      <c r="A22" s="37">
        <f t="shared" si="0"/>
        <v>84</v>
      </c>
      <c r="B22" s="28">
        <v>21</v>
      </c>
      <c r="C22" s="61">
        <v>0</v>
      </c>
    </row>
    <row r="23" spans="1:3">
      <c r="A23" s="37">
        <f t="shared" si="0"/>
        <v>85</v>
      </c>
      <c r="B23">
        <v>22</v>
      </c>
      <c r="C23" s="61">
        <v>0</v>
      </c>
    </row>
    <row r="24" spans="1:3">
      <c r="A24" s="37">
        <f t="shared" si="0"/>
        <v>86</v>
      </c>
      <c r="B24" s="28">
        <v>23</v>
      </c>
      <c r="C24" s="61">
        <v>0</v>
      </c>
    </row>
    <row r="25" spans="1:3">
      <c r="A25" s="37">
        <f t="shared" si="0"/>
        <v>87</v>
      </c>
      <c r="B25">
        <v>24</v>
      </c>
      <c r="C25" s="61">
        <v>0</v>
      </c>
    </row>
    <row r="26" spans="1:3">
      <c r="A26" s="37">
        <f t="shared" si="0"/>
        <v>88</v>
      </c>
      <c r="B26" s="28">
        <v>25</v>
      </c>
      <c r="C26" s="61">
        <v>0</v>
      </c>
    </row>
    <row r="27" spans="1:3">
      <c r="A27" s="37">
        <f t="shared" si="0"/>
        <v>89</v>
      </c>
      <c r="B27">
        <v>26</v>
      </c>
      <c r="C27" s="61">
        <v>0</v>
      </c>
    </row>
    <row r="28" spans="1:3">
      <c r="A28" s="37">
        <f t="shared" si="0"/>
        <v>90</v>
      </c>
      <c r="B28" s="28">
        <v>27</v>
      </c>
      <c r="C28" s="61">
        <v>0</v>
      </c>
    </row>
    <row r="29" spans="1:3">
      <c r="A29" s="37">
        <f t="shared" si="0"/>
        <v>91</v>
      </c>
      <c r="B29">
        <v>28</v>
      </c>
      <c r="C29" s="61">
        <v>0</v>
      </c>
    </row>
    <row r="30" spans="1:3">
      <c r="A30" s="37">
        <f t="shared" si="0"/>
        <v>92</v>
      </c>
      <c r="B30" s="28">
        <v>29</v>
      </c>
      <c r="C30" s="61">
        <v>0</v>
      </c>
    </row>
    <row r="31" spans="1:3">
      <c r="A31" s="37">
        <f t="shared" si="0"/>
        <v>93</v>
      </c>
      <c r="B31">
        <v>30</v>
      </c>
      <c r="C31" s="61">
        <v>0</v>
      </c>
    </row>
    <row r="32" spans="1:3">
      <c r="A32" s="37">
        <f t="shared" si="0"/>
        <v>94</v>
      </c>
      <c r="B32" s="28">
        <v>31</v>
      </c>
      <c r="C32" s="61">
        <v>0</v>
      </c>
    </row>
    <row r="33" spans="1:3">
      <c r="A33" s="37">
        <f t="shared" si="0"/>
        <v>95</v>
      </c>
      <c r="B33">
        <v>32</v>
      </c>
      <c r="C33" s="61">
        <v>0</v>
      </c>
    </row>
    <row r="34" spans="1:3">
      <c r="A34" s="37">
        <f t="shared" si="0"/>
        <v>96</v>
      </c>
      <c r="B34" s="28">
        <v>33</v>
      </c>
      <c r="C34" s="61">
        <v>0</v>
      </c>
    </row>
    <row r="35" spans="1:3">
      <c r="A35" s="37">
        <f t="shared" si="0"/>
        <v>97</v>
      </c>
      <c r="B35">
        <v>34</v>
      </c>
      <c r="C35" s="61">
        <v>0</v>
      </c>
    </row>
    <row r="36" spans="1:3">
      <c r="A36" s="37">
        <f t="shared" si="0"/>
        <v>98</v>
      </c>
      <c r="B36" s="28">
        <v>35</v>
      </c>
      <c r="C36" s="61"/>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H36"/>
  <sheetViews>
    <sheetView workbookViewId="0">
      <selection activeCell="I6" sqref="I6"/>
    </sheetView>
  </sheetViews>
  <sheetFormatPr defaultRowHeight="12.75"/>
  <cols>
    <col min="2" max="2" width="12" customWidth="1"/>
    <col min="4" max="4" width="13.140625" customWidth="1"/>
    <col min="5" max="5" width="12.85546875" customWidth="1"/>
    <col min="8" max="8" width="12.28515625" customWidth="1"/>
  </cols>
  <sheetData>
    <row r="1" spans="1:8" s="1" customFormat="1" ht="38.25">
      <c r="A1" s="1" t="s">
        <v>147</v>
      </c>
      <c r="B1" s="1" t="s">
        <v>107</v>
      </c>
      <c r="C1" s="25" t="s">
        <v>114</v>
      </c>
      <c r="D1" s="135" t="s">
        <v>278</v>
      </c>
      <c r="E1" s="1" t="s">
        <v>115</v>
      </c>
      <c r="F1" s="26" t="s">
        <v>116</v>
      </c>
      <c r="G1" s="26" t="s">
        <v>117</v>
      </c>
      <c r="H1" s="1" t="s">
        <v>118</v>
      </c>
    </row>
    <row r="2" spans="1:8" s="22" customFormat="1">
      <c r="A2" s="28">
        <v>1</v>
      </c>
      <c r="B2" s="27">
        <f>'Q&amp;A'!A10</f>
        <v>140000</v>
      </c>
      <c r="C2" s="24">
        <f ca="1">'All Income'!T3</f>
        <v>4.8056279675751989E-2</v>
      </c>
      <c r="D2" s="22">
        <f>Cash!F3</f>
        <v>0</v>
      </c>
      <c r="E2" s="22">
        <f ca="1">B2*(1+C2)+D2</f>
        <v>146727.87915460527</v>
      </c>
      <c r="F2" s="77">
        <f>'Q&amp;A'!A11</f>
        <v>0.05</v>
      </c>
      <c r="G2" s="22">
        <f ca="1">E2*F2/12</f>
        <v>611.36616314418859</v>
      </c>
      <c r="H2" s="22">
        <f ca="1">E2-G2*12</f>
        <v>139391.485196875</v>
      </c>
    </row>
    <row r="3" spans="1:8">
      <c r="A3">
        <v>2</v>
      </c>
      <c r="B3" s="22">
        <f ca="1">H2</f>
        <v>139391.485196875</v>
      </c>
      <c r="C3" s="24">
        <f ca="1">'All Income'!T4</f>
        <v>4.3141815548887963E-2</v>
      </c>
      <c r="D3" s="22">
        <f ca="1">Cash!F4</f>
        <v>0</v>
      </c>
      <c r="E3" s="22">
        <f t="shared" ref="E3:E36" ca="1" si="0">B3*(1+C3)+D3</f>
        <v>145405.08694032411</v>
      </c>
      <c r="F3" s="24">
        <f>F2</f>
        <v>0.05</v>
      </c>
      <c r="G3" s="22">
        <f ca="1">E3*F3/12</f>
        <v>605.85452891801708</v>
      </c>
      <c r="H3" s="22">
        <f t="shared" ref="H3:H36" ca="1" si="1">E3-G3*12</f>
        <v>138134.83259330789</v>
      </c>
    </row>
    <row r="4" spans="1:8">
      <c r="A4" s="28">
        <v>3</v>
      </c>
      <c r="B4" s="22">
        <f t="shared" ref="B4:B36" ca="1" si="2">H3</f>
        <v>138134.83259330789</v>
      </c>
      <c r="C4" s="24">
        <f ca="1">'All Income'!T5</f>
        <v>3.8227351422023936E-2</v>
      </c>
      <c r="D4" s="22">
        <f ca="1">Cash!F5</f>
        <v>0</v>
      </c>
      <c r="E4" s="22">
        <f t="shared" ca="1" si="0"/>
        <v>143415.36138247472</v>
      </c>
      <c r="F4" s="24">
        <f t="shared" ref="F4:F36" si="3">F3</f>
        <v>0.05</v>
      </c>
      <c r="G4" s="22">
        <f t="shared" ref="G4:G36" ca="1" si="4">E4*F4/12</f>
        <v>597.56400576031137</v>
      </c>
      <c r="H4" s="22">
        <f t="shared" ca="1" si="1"/>
        <v>136244.59331335098</v>
      </c>
    </row>
    <row r="5" spans="1:8">
      <c r="A5">
        <v>4</v>
      </c>
      <c r="B5" s="22">
        <f t="shared" ca="1" si="2"/>
        <v>136244.59331335098</v>
      </c>
      <c r="C5" s="24">
        <f ca="1">'All Income'!T6</f>
        <v>3.331288729515991E-2</v>
      </c>
      <c r="D5" s="22">
        <f ca="1">Cash!F6</f>
        <v>0</v>
      </c>
      <c r="E5" s="22">
        <f t="shared" ca="1" si="0"/>
        <v>140783.29409497356</v>
      </c>
      <c r="F5" s="24">
        <f t="shared" si="3"/>
        <v>0.05</v>
      </c>
      <c r="G5" s="22">
        <f t="shared" ca="1" si="4"/>
        <v>586.59705872905658</v>
      </c>
      <c r="H5" s="22">
        <f t="shared" ca="1" si="1"/>
        <v>133744.12939022487</v>
      </c>
    </row>
    <row r="6" spans="1:8">
      <c r="A6" s="28">
        <v>5</v>
      </c>
      <c r="B6" s="22">
        <f t="shared" ca="1" si="2"/>
        <v>133744.12939022487</v>
      </c>
      <c r="C6" s="24">
        <f ca="1">'All Income'!T7</f>
        <v>3.5225795883910782E-2</v>
      </c>
      <c r="D6" s="22">
        <f ca="1">Cash!F7</f>
        <v>0</v>
      </c>
      <c r="E6" s="22">
        <f t="shared" ca="1" si="0"/>
        <v>138455.37279279629</v>
      </c>
      <c r="F6" s="24">
        <f t="shared" si="3"/>
        <v>0.05</v>
      </c>
      <c r="G6" s="22">
        <f t="shared" ca="1" si="4"/>
        <v>576.89738663665128</v>
      </c>
      <c r="H6" s="22">
        <f t="shared" ca="1" si="1"/>
        <v>131532.60415315648</v>
      </c>
    </row>
    <row r="7" spans="1:8">
      <c r="A7">
        <v>6</v>
      </c>
      <c r="B7" s="22">
        <f t="shared" ca="1" si="2"/>
        <v>131532.60415315648</v>
      </c>
      <c r="C7" s="24">
        <f ca="1">'All Income'!T8</f>
        <v>3.7138704472661647E-2</v>
      </c>
      <c r="D7" s="22">
        <f ca="1">Cash!F8</f>
        <v>0</v>
      </c>
      <c r="E7" s="22">
        <f t="shared" ca="1" si="0"/>
        <v>136417.55466732016</v>
      </c>
      <c r="F7" s="24">
        <f t="shared" si="3"/>
        <v>0.05</v>
      </c>
      <c r="G7" s="22">
        <f t="shared" ca="1" si="4"/>
        <v>568.40647778050072</v>
      </c>
      <c r="H7" s="22">
        <f t="shared" ca="1" si="1"/>
        <v>129596.67693395415</v>
      </c>
    </row>
    <row r="8" spans="1:8">
      <c r="A8" s="28">
        <v>7</v>
      </c>
      <c r="B8" s="22">
        <f t="shared" ca="1" si="2"/>
        <v>129596.67693395415</v>
      </c>
      <c r="C8" s="24">
        <f ca="1">'All Income'!T9</f>
        <v>3.905161306141252E-2</v>
      </c>
      <c r="D8" s="22">
        <f ca="1">Cash!F9</f>
        <v>0</v>
      </c>
      <c r="E8" s="22">
        <f t="shared" ca="1" si="0"/>
        <v>134657.63621562382</v>
      </c>
      <c r="F8" s="24">
        <f t="shared" si="3"/>
        <v>0.05</v>
      </c>
      <c r="G8" s="22">
        <f t="shared" ca="1" si="4"/>
        <v>561.07348423176597</v>
      </c>
      <c r="H8" s="22">
        <f t="shared" ca="1" si="1"/>
        <v>127924.75440484262</v>
      </c>
    </row>
    <row r="9" spans="1:8">
      <c r="A9">
        <v>8</v>
      </c>
      <c r="B9" s="22">
        <f t="shared" ca="1" si="2"/>
        <v>127924.75440484262</v>
      </c>
      <c r="C9" s="24">
        <f ca="1">'All Income'!T10</f>
        <v>3.1857043000804386E-2</v>
      </c>
      <c r="D9" s="22">
        <f ca="1">Cash!F10</f>
        <v>0</v>
      </c>
      <c r="E9" s="22">
        <f t="shared" ca="1" si="0"/>
        <v>132000.058806785</v>
      </c>
      <c r="F9" s="24">
        <f t="shared" si="3"/>
        <v>0.05</v>
      </c>
      <c r="G9" s="22">
        <f t="shared" ca="1" si="4"/>
        <v>550.00024502827091</v>
      </c>
      <c r="H9" s="22">
        <f t="shared" ca="1" si="1"/>
        <v>125400.05586644575</v>
      </c>
    </row>
    <row r="10" spans="1:8">
      <c r="A10" s="28">
        <v>9</v>
      </c>
      <c r="B10" s="22">
        <f t="shared" ca="1" si="2"/>
        <v>125400.05586644575</v>
      </c>
      <c r="C10" s="24">
        <f ca="1">'All Income'!T11</f>
        <v>2.4662472940196245E-2</v>
      </c>
      <c r="D10" s="22">
        <f ca="1">Cash!F11</f>
        <v>0</v>
      </c>
      <c r="E10" s="22">
        <f t="shared" ca="1" si="0"/>
        <v>128492.73135095107</v>
      </c>
      <c r="F10" s="24">
        <f t="shared" si="3"/>
        <v>0.05</v>
      </c>
      <c r="G10" s="22">
        <f t="shared" ca="1" si="4"/>
        <v>535.3863806289628</v>
      </c>
      <c r="H10" s="22">
        <f t="shared" ca="1" si="1"/>
        <v>122068.09478340352</v>
      </c>
    </row>
    <row r="11" spans="1:8">
      <c r="A11">
        <v>10</v>
      </c>
      <c r="B11" s="22">
        <f t="shared" ca="1" si="2"/>
        <v>122068.09478340352</v>
      </c>
      <c r="C11" s="24">
        <f ca="1">'All Income'!T12</f>
        <v>1.7467902879588111E-2</v>
      </c>
      <c r="D11" s="22">
        <f ca="1">Cash!F12</f>
        <v>0</v>
      </c>
      <c r="E11" s="22">
        <f t="shared" ca="1" si="0"/>
        <v>124200.36840777636</v>
      </c>
      <c r="F11" s="24">
        <f t="shared" si="3"/>
        <v>0.05</v>
      </c>
      <c r="G11" s="22">
        <f t="shared" ca="1" si="4"/>
        <v>517.50153503240153</v>
      </c>
      <c r="H11" s="22">
        <f t="shared" ca="1" si="1"/>
        <v>117990.34998738754</v>
      </c>
    </row>
    <row r="12" spans="1:8">
      <c r="A12" s="28">
        <v>11</v>
      </c>
      <c r="B12" s="22">
        <f t="shared" ca="1" si="2"/>
        <v>117990.34998738754</v>
      </c>
      <c r="C12" s="24">
        <f ca="1">'All Income'!T13</f>
        <v>3.8298795827102411E-2</v>
      </c>
      <c r="D12" s="22">
        <f ca="1">Cash!F13</f>
        <v>0</v>
      </c>
      <c r="E12" s="22">
        <f t="shared" ca="1" si="0"/>
        <v>122509.23831112286</v>
      </c>
      <c r="F12" s="24">
        <f t="shared" si="3"/>
        <v>0.05</v>
      </c>
      <c r="G12" s="22">
        <f t="shared" ca="1" si="4"/>
        <v>510.45515962967858</v>
      </c>
      <c r="H12" s="22">
        <f t="shared" ca="1" si="1"/>
        <v>116383.77639556672</v>
      </c>
    </row>
    <row r="13" spans="1:8">
      <c r="A13">
        <v>12</v>
      </c>
      <c r="B13" s="22">
        <f t="shared" ca="1" si="2"/>
        <v>116383.77639556672</v>
      </c>
      <c r="C13" s="24">
        <f ca="1">'All Income'!T14</f>
        <v>5.9129688774616711E-2</v>
      </c>
      <c r="D13" s="22">
        <f ca="1">Cash!F14</f>
        <v>0</v>
      </c>
      <c r="E13" s="22">
        <f t="shared" ca="1" si="0"/>
        <v>123265.51287225116</v>
      </c>
      <c r="F13" s="24">
        <f t="shared" si="3"/>
        <v>0.05</v>
      </c>
      <c r="G13" s="22">
        <f t="shared" ca="1" si="4"/>
        <v>513.60630363437986</v>
      </c>
      <c r="H13" s="22">
        <f t="shared" ca="1" si="1"/>
        <v>117102.23722863859</v>
      </c>
    </row>
    <row r="14" spans="1:8">
      <c r="A14" s="28">
        <v>13</v>
      </c>
      <c r="B14" s="22">
        <f t="shared" ca="1" si="2"/>
        <v>117102.23722863859</v>
      </c>
      <c r="C14" s="24">
        <f ca="1">'All Income'!T15</f>
        <v>7.9960581722131011E-2</v>
      </c>
      <c r="D14" s="22">
        <f ca="1">Cash!F15</f>
        <v>0</v>
      </c>
      <c r="E14" s="22">
        <f t="shared" ca="1" si="0"/>
        <v>126465.80023840352</v>
      </c>
      <c r="F14" s="24">
        <f t="shared" si="3"/>
        <v>0.05</v>
      </c>
      <c r="G14" s="22">
        <f t="shared" ca="1" si="4"/>
        <v>526.9408343266814</v>
      </c>
      <c r="H14" s="22">
        <f t="shared" ca="1" si="1"/>
        <v>120142.51022648334</v>
      </c>
    </row>
    <row r="15" spans="1:8">
      <c r="A15">
        <v>14</v>
      </c>
      <c r="B15" s="22">
        <f t="shared" ca="1" si="2"/>
        <v>120142.51022648334</v>
      </c>
      <c r="C15" s="24">
        <f ca="1">'All Income'!T16</f>
        <v>5.0780145310819591E-2</v>
      </c>
      <c r="D15" s="22">
        <f ca="1">Cash!F16</f>
        <v>0</v>
      </c>
      <c r="E15" s="22">
        <f t="shared" ca="1" si="0"/>
        <v>126243.36435379081</v>
      </c>
      <c r="F15" s="24">
        <f t="shared" si="3"/>
        <v>0.05</v>
      </c>
      <c r="G15" s="22">
        <f t="shared" ca="1" si="4"/>
        <v>526.01401814079509</v>
      </c>
      <c r="H15" s="22">
        <f t="shared" ca="1" si="1"/>
        <v>119931.19613610127</v>
      </c>
    </row>
    <row r="16" spans="1:8">
      <c r="A16" s="28">
        <v>15</v>
      </c>
      <c r="B16" s="22">
        <f t="shared" ca="1" si="2"/>
        <v>119931.19613610127</v>
      </c>
      <c r="C16" s="24">
        <f ca="1">'All Income'!T17</f>
        <v>2.1599708899508165E-2</v>
      </c>
      <c r="D16" s="22">
        <f ca="1">Cash!F17</f>
        <v>0</v>
      </c>
      <c r="E16" s="22">
        <f t="shared" ca="1" si="0"/>
        <v>122521.67506061087</v>
      </c>
      <c r="F16" s="24">
        <f t="shared" si="3"/>
        <v>0.05</v>
      </c>
      <c r="G16" s="22">
        <f t="shared" ca="1" si="4"/>
        <v>510.50697941921197</v>
      </c>
      <c r="H16" s="22">
        <f t="shared" ca="1" si="1"/>
        <v>116395.59130758033</v>
      </c>
    </row>
    <row r="17" spans="1:8">
      <c r="A17">
        <v>16</v>
      </c>
      <c r="B17" s="22">
        <f t="shared" ca="1" si="2"/>
        <v>116395.59130758033</v>
      </c>
      <c r="C17" s="24">
        <f ca="1">'All Income'!T18</f>
        <v>-7.5807275118032671E-3</v>
      </c>
      <c r="D17" s="22">
        <f ca="1">Cash!F18</f>
        <v>0</v>
      </c>
      <c r="E17" s="22">
        <f t="shared" ca="1" si="0"/>
        <v>115513.22804630233</v>
      </c>
      <c r="F17" s="24">
        <f t="shared" si="3"/>
        <v>0.05</v>
      </c>
      <c r="G17" s="22">
        <f t="shared" ca="1" si="4"/>
        <v>481.30511685959306</v>
      </c>
      <c r="H17" s="22">
        <f t="shared" ca="1" si="1"/>
        <v>109737.56664398721</v>
      </c>
    </row>
    <row r="18" spans="1:8">
      <c r="A18" s="28">
        <v>17</v>
      </c>
      <c r="B18" s="22">
        <f t="shared" ca="1" si="2"/>
        <v>109737.56664398721</v>
      </c>
      <c r="C18" s="24">
        <f ca="1">'All Income'!T19</f>
        <v>1.8087066754695132E-2</v>
      </c>
      <c r="D18" s="22">
        <f ca="1">Cash!F19</f>
        <v>0</v>
      </c>
      <c r="E18" s="22">
        <f t="shared" ca="1" si="0"/>
        <v>111722.39733737482</v>
      </c>
      <c r="F18" s="24">
        <f t="shared" si="3"/>
        <v>0.05</v>
      </c>
      <c r="G18" s="22">
        <f t="shared" ca="1" si="4"/>
        <v>465.50998890572845</v>
      </c>
      <c r="H18" s="22">
        <f t="shared" ca="1" si="1"/>
        <v>106136.27747050607</v>
      </c>
    </row>
    <row r="19" spans="1:8">
      <c r="A19">
        <v>18</v>
      </c>
      <c r="B19" s="22">
        <f t="shared" ca="1" si="2"/>
        <v>106136.27747050607</v>
      </c>
      <c r="C19" s="24">
        <f ca="1">'All Income'!T20</f>
        <v>4.3754861021193532E-2</v>
      </c>
      <c r="D19" s="22">
        <f ca="1">Cash!F20</f>
        <v>0</v>
      </c>
      <c r="E19" s="22">
        <f t="shared" ca="1" si="0"/>
        <v>110780.2555405349</v>
      </c>
      <c r="F19" s="24">
        <f t="shared" si="3"/>
        <v>0.05</v>
      </c>
      <c r="G19" s="22">
        <f t="shared" ca="1" si="4"/>
        <v>461.5843980855621</v>
      </c>
      <c r="H19" s="22">
        <f t="shared" ca="1" si="1"/>
        <v>105241.24276350815</v>
      </c>
    </row>
    <row r="20" spans="1:8">
      <c r="A20" s="28">
        <v>19</v>
      </c>
      <c r="B20" s="22">
        <f t="shared" ca="1" si="2"/>
        <v>105241.24276350815</v>
      </c>
      <c r="C20" s="24">
        <f ca="1">'All Income'!T21</f>
        <v>6.9422655287691939E-2</v>
      </c>
      <c r="D20" s="22">
        <f ca="1">Cash!F21</f>
        <v>0</v>
      </c>
      <c r="E20" s="22">
        <f t="shared" ca="1" si="0"/>
        <v>112547.36928192749</v>
      </c>
      <c r="F20" s="24">
        <f t="shared" si="3"/>
        <v>0.05</v>
      </c>
      <c r="G20" s="22">
        <f t="shared" ca="1" si="4"/>
        <v>468.94737200803121</v>
      </c>
      <c r="H20" s="22">
        <f t="shared" ca="1" si="1"/>
        <v>106920.00081783111</v>
      </c>
    </row>
    <row r="21" spans="1:8">
      <c r="A21">
        <v>20</v>
      </c>
      <c r="B21" s="22">
        <f t="shared" ca="1" si="2"/>
        <v>106920.00081783111</v>
      </c>
      <c r="C21" s="24">
        <f ca="1">'All Income'!T22</f>
        <v>6.7664676787976552E-2</v>
      </c>
      <c r="D21" s="22">
        <f ca="1">Cash!F22</f>
        <v>0</v>
      </c>
      <c r="E21" s="22">
        <f t="shared" ca="1" si="0"/>
        <v>114154.70811533983</v>
      </c>
      <c r="F21" s="24">
        <f t="shared" si="3"/>
        <v>0.05</v>
      </c>
      <c r="G21" s="22">
        <f t="shared" ca="1" si="4"/>
        <v>475.64461714724933</v>
      </c>
      <c r="H21" s="22">
        <f t="shared" ca="1" si="1"/>
        <v>108446.97270957284</v>
      </c>
    </row>
    <row r="22" spans="1:8">
      <c r="A22" s="28">
        <v>21</v>
      </c>
      <c r="B22" s="22">
        <f t="shared" ca="1" si="2"/>
        <v>108446.97270957284</v>
      </c>
      <c r="C22" s="24">
        <f ca="1">'All Income'!T23</f>
        <v>6.5906698288261151E-2</v>
      </c>
      <c r="D22" s="22">
        <f ca="1">Cash!F23</f>
        <v>0</v>
      </c>
      <c r="E22" s="22">
        <f t="shared" ca="1" si="0"/>
        <v>115594.35462021796</v>
      </c>
      <c r="F22" s="24">
        <f t="shared" si="3"/>
        <v>0.05</v>
      </c>
      <c r="G22" s="22">
        <f t="shared" ca="1" si="4"/>
        <v>481.64314425090816</v>
      </c>
      <c r="H22" s="22">
        <f t="shared" ca="1" si="1"/>
        <v>109814.63688920706</v>
      </c>
    </row>
    <row r="23" spans="1:8">
      <c r="A23">
        <v>22</v>
      </c>
      <c r="B23" s="22">
        <f t="shared" ca="1" si="2"/>
        <v>109814.63688920706</v>
      </c>
      <c r="C23" s="24">
        <f ca="1">'All Income'!T24</f>
        <v>6.4148719788545763E-2</v>
      </c>
      <c r="D23" s="22">
        <f ca="1">Cash!F24</f>
        <v>0</v>
      </c>
      <c r="E23" s="22">
        <f t="shared" ca="1" si="0"/>
        <v>116859.10525969371</v>
      </c>
      <c r="F23" s="24">
        <f t="shared" si="3"/>
        <v>0.05</v>
      </c>
      <c r="G23" s="22">
        <f t="shared" ca="1" si="4"/>
        <v>486.91293858205717</v>
      </c>
      <c r="H23" s="22">
        <f t="shared" ca="1" si="1"/>
        <v>111016.14999670902</v>
      </c>
    </row>
    <row r="24" spans="1:8">
      <c r="A24" s="28">
        <v>23</v>
      </c>
      <c r="B24" s="22">
        <f t="shared" ca="1" si="2"/>
        <v>111016.14999670902</v>
      </c>
      <c r="C24" s="24">
        <f ca="1">'All Income'!T25</f>
        <v>7.183851207618866E-2</v>
      </c>
      <c r="D24" s="22">
        <f ca="1">Cash!F25</f>
        <v>0</v>
      </c>
      <c r="E24" s="22">
        <f t="shared" ca="1" si="0"/>
        <v>118991.38502889957</v>
      </c>
      <c r="F24" s="24">
        <f t="shared" si="3"/>
        <v>0.05</v>
      </c>
      <c r="G24" s="22">
        <f t="shared" ca="1" si="4"/>
        <v>495.79743762041494</v>
      </c>
      <c r="H24" s="22">
        <f t="shared" ca="1" si="1"/>
        <v>113041.8157774546</v>
      </c>
    </row>
    <row r="25" spans="1:8">
      <c r="A25">
        <v>24</v>
      </c>
      <c r="B25" s="22">
        <f t="shared" ca="1" si="2"/>
        <v>113041.8157774546</v>
      </c>
      <c r="C25" s="24">
        <f ca="1">'All Income'!T26</f>
        <v>7.952830436383157E-2</v>
      </c>
      <c r="D25" s="22">
        <f ca="1">Cash!F26</f>
        <v>0</v>
      </c>
      <c r="E25" s="22">
        <f t="shared" ca="1" si="0"/>
        <v>122031.83970844418</v>
      </c>
      <c r="F25" s="24">
        <f t="shared" si="3"/>
        <v>0.05</v>
      </c>
      <c r="G25" s="22">
        <f t="shared" ca="1" si="4"/>
        <v>508.46599878518413</v>
      </c>
      <c r="H25" s="22">
        <f t="shared" ca="1" si="1"/>
        <v>115930.24772302197</v>
      </c>
    </row>
    <row r="26" spans="1:8">
      <c r="A26" s="28">
        <v>25</v>
      </c>
      <c r="B26" s="22">
        <f t="shared" ca="1" si="2"/>
        <v>115930.24772302197</v>
      </c>
      <c r="C26" s="24">
        <f ca="1">'All Income'!T27</f>
        <v>8.7218096651474467E-2</v>
      </c>
      <c r="D26" s="22">
        <f ca="1">Cash!F27</f>
        <v>0</v>
      </c>
      <c r="E26" s="22">
        <f t="shared" ca="1" si="0"/>
        <v>126041.46327375786</v>
      </c>
      <c r="F26" s="24">
        <f t="shared" si="3"/>
        <v>0.05</v>
      </c>
      <c r="G26" s="22">
        <f t="shared" ca="1" si="4"/>
        <v>525.17276364065776</v>
      </c>
      <c r="H26" s="22">
        <f t="shared" ca="1" si="1"/>
        <v>119739.39011006997</v>
      </c>
    </row>
    <row r="27" spans="1:8">
      <c r="A27">
        <v>26</v>
      </c>
      <c r="B27" s="22">
        <f t="shared" ca="1" si="2"/>
        <v>119739.39011006997</v>
      </c>
      <c r="C27" s="24">
        <f ca="1">'All Income'!T28</f>
        <v>6.3804111473844252E-2</v>
      </c>
      <c r="D27" s="22">
        <f ca="1">Cash!F28</f>
        <v>0</v>
      </c>
      <c r="E27" s="22">
        <f t="shared" ca="1" si="0"/>
        <v>127379.25550446301</v>
      </c>
      <c r="F27" s="24">
        <f t="shared" si="3"/>
        <v>0.05</v>
      </c>
      <c r="G27" s="22">
        <f t="shared" ca="1" si="4"/>
        <v>530.74689793526261</v>
      </c>
      <c r="H27" s="22">
        <f t="shared" ca="1" si="1"/>
        <v>121010.29272923987</v>
      </c>
    </row>
    <row r="28" spans="1:8">
      <c r="A28" s="28">
        <v>27</v>
      </c>
      <c r="B28" s="22">
        <f t="shared" ca="1" si="2"/>
        <v>121010.29272923987</v>
      </c>
      <c r="C28" s="24">
        <f ca="1">'All Income'!T29</f>
        <v>4.0390126296214038E-2</v>
      </c>
      <c r="D28" s="22">
        <f ca="1">Cash!F29</f>
        <v>0</v>
      </c>
      <c r="E28" s="22">
        <f t="shared" ca="1" si="0"/>
        <v>125897.9137357157</v>
      </c>
      <c r="F28" s="24">
        <f t="shared" si="3"/>
        <v>0.05</v>
      </c>
      <c r="G28" s="22">
        <f t="shared" ca="1" si="4"/>
        <v>524.57464056548213</v>
      </c>
      <c r="H28" s="22">
        <f t="shared" ca="1" si="1"/>
        <v>119603.01804892992</v>
      </c>
    </row>
    <row r="29" spans="1:8">
      <c r="A29">
        <v>28</v>
      </c>
      <c r="B29" s="22">
        <f t="shared" ca="1" si="2"/>
        <v>119603.01804892992</v>
      </c>
      <c r="C29" s="24">
        <f ca="1">'All Income'!T30</f>
        <v>1.6976141118583817E-2</v>
      </c>
      <c r="D29" s="22">
        <f ca="1">Cash!F30</f>
        <v>0</v>
      </c>
      <c r="E29" s="22">
        <f t="shared" ca="1" si="0"/>
        <v>121633.41576153708</v>
      </c>
      <c r="F29" s="24">
        <f t="shared" si="3"/>
        <v>0.05</v>
      </c>
      <c r="G29" s="22">
        <f t="shared" ca="1" si="4"/>
        <v>506.80589900640456</v>
      </c>
      <c r="H29" s="22">
        <f t="shared" ca="1" si="1"/>
        <v>115551.74497346023</v>
      </c>
    </row>
    <row r="30" spans="1:8">
      <c r="A30" s="28">
        <v>29</v>
      </c>
      <c r="B30" s="22">
        <f t="shared" ca="1" si="2"/>
        <v>115551.74497346023</v>
      </c>
      <c r="C30" s="24">
        <f ca="1">'All Income'!T31</f>
        <v>3.1334393635484896E-2</v>
      </c>
      <c r="D30" s="22">
        <f ca="1">Cash!F31</f>
        <v>0</v>
      </c>
      <c r="E30" s="22">
        <f t="shared" ca="1" si="0"/>
        <v>119172.48883572579</v>
      </c>
      <c r="F30" s="24">
        <f t="shared" si="3"/>
        <v>0.05</v>
      </c>
      <c r="G30" s="22">
        <f t="shared" ca="1" si="4"/>
        <v>496.55203681552416</v>
      </c>
      <c r="H30" s="22">
        <f t="shared" ca="1" si="1"/>
        <v>113213.8643939395</v>
      </c>
    </row>
    <row r="31" spans="1:8">
      <c r="A31">
        <v>30</v>
      </c>
      <c r="B31" s="22">
        <f t="shared" ca="1" si="2"/>
        <v>113213.8643939395</v>
      </c>
      <c r="C31" s="24">
        <f ca="1">'All Income'!T32</f>
        <v>4.5692646152385975E-2</v>
      </c>
      <c r="D31" s="22">
        <f ca="1">Cash!F32</f>
        <v>0</v>
      </c>
      <c r="E31" s="22">
        <f t="shared" ca="1" si="0"/>
        <v>118386.90543923597</v>
      </c>
      <c r="F31" s="24">
        <f t="shared" si="3"/>
        <v>0.05</v>
      </c>
      <c r="G31" s="22">
        <f t="shared" ca="1" si="4"/>
        <v>493.27877266348327</v>
      </c>
      <c r="H31" s="22">
        <f t="shared" ca="1" si="1"/>
        <v>112467.56016727418</v>
      </c>
    </row>
    <row r="32" spans="1:8">
      <c r="A32" s="28">
        <v>31</v>
      </c>
      <c r="B32" s="22">
        <f t="shared" ca="1" si="2"/>
        <v>112467.56016727418</v>
      </c>
      <c r="C32" s="24">
        <f ca="1">'All Income'!T33</f>
        <v>6.0050898669287055E-2</v>
      </c>
      <c r="D32" s="22">
        <f ca="1">Cash!F33</f>
        <v>0</v>
      </c>
      <c r="E32" s="22">
        <f t="shared" ca="1" si="0"/>
        <v>119221.33822646111</v>
      </c>
      <c r="F32" s="24">
        <f t="shared" si="3"/>
        <v>0.05</v>
      </c>
      <c r="G32" s="22">
        <f t="shared" ca="1" si="4"/>
        <v>496.75557594358798</v>
      </c>
      <c r="H32" s="22">
        <f t="shared" ca="1" si="1"/>
        <v>113260.27131513806</v>
      </c>
    </row>
    <row r="33" spans="1:8">
      <c r="A33">
        <v>32</v>
      </c>
      <c r="B33" s="22">
        <f t="shared" ca="1" si="2"/>
        <v>113260.27131513806</v>
      </c>
      <c r="C33" s="24">
        <f ca="1">'All Income'!T34</f>
        <v>6.0063014183554239E-2</v>
      </c>
      <c r="D33" s="22">
        <f ca="1">Cash!F34</f>
        <v>0</v>
      </c>
      <c r="E33" s="22">
        <f t="shared" ca="1" si="0"/>
        <v>120063.02459757241</v>
      </c>
      <c r="F33" s="24">
        <f t="shared" si="3"/>
        <v>0.05</v>
      </c>
      <c r="G33" s="22">
        <f t="shared" ca="1" si="4"/>
        <v>500.26260248988507</v>
      </c>
      <c r="H33" s="22">
        <f t="shared" ca="1" si="1"/>
        <v>114059.87336769378</v>
      </c>
    </row>
    <row r="34" spans="1:8">
      <c r="A34" s="28">
        <v>33</v>
      </c>
      <c r="B34" s="22">
        <f t="shared" ca="1" si="2"/>
        <v>114059.87336769378</v>
      </c>
      <c r="C34" s="24">
        <f ca="1">'All Income'!T35</f>
        <v>6.0075129697821431E-2</v>
      </c>
      <c r="D34" s="22">
        <f ca="1">Cash!F35</f>
        <v>0</v>
      </c>
      <c r="E34" s="22">
        <f t="shared" ca="1" si="0"/>
        <v>120912.03505357508</v>
      </c>
      <c r="F34" s="24">
        <f t="shared" si="3"/>
        <v>0.05</v>
      </c>
      <c r="G34" s="22">
        <f t="shared" ca="1" si="4"/>
        <v>503.80014605656288</v>
      </c>
      <c r="H34" s="22">
        <f t="shared" ca="1" si="1"/>
        <v>114866.43330089631</v>
      </c>
    </row>
    <row r="35" spans="1:8">
      <c r="A35">
        <v>34</v>
      </c>
      <c r="B35" s="22">
        <f t="shared" ca="1" si="2"/>
        <v>114866.43330089631</v>
      </c>
      <c r="C35" s="24">
        <f ca="1">'All Income'!T36</f>
        <v>6.0087245212088615E-2</v>
      </c>
      <c r="D35" s="22">
        <f ca="1">Cash!F36</f>
        <v>0</v>
      </c>
      <c r="E35" s="22">
        <f t="shared" ca="1" si="0"/>
        <v>121768.44084528529</v>
      </c>
      <c r="F35" s="24">
        <f t="shared" si="3"/>
        <v>0.05</v>
      </c>
      <c r="G35" s="22">
        <f t="shared" ca="1" si="4"/>
        <v>507.36850352202208</v>
      </c>
      <c r="H35" s="22">
        <f t="shared" ca="1" si="1"/>
        <v>115680.01880302103</v>
      </c>
    </row>
    <row r="36" spans="1:8">
      <c r="A36" s="28">
        <v>35</v>
      </c>
      <c r="B36" s="22">
        <f t="shared" ca="1" si="2"/>
        <v>115680.01880302103</v>
      </c>
      <c r="C36" s="24">
        <f ca="1">'All Income'!T37</f>
        <v>4.0058163474725739E-2</v>
      </c>
      <c r="D36" s="22">
        <f ca="1">Cash!F37</f>
        <v>0</v>
      </c>
      <c r="E36" s="22">
        <f t="shared" ca="1" si="0"/>
        <v>120313.94790699179</v>
      </c>
      <c r="F36" s="24">
        <f t="shared" si="3"/>
        <v>0.05</v>
      </c>
      <c r="G36" s="22">
        <f t="shared" ca="1" si="4"/>
        <v>501.30811627913249</v>
      </c>
      <c r="H36" s="22">
        <f t="shared" ca="1" si="1"/>
        <v>114298.2505116422</v>
      </c>
    </row>
  </sheetData>
  <phoneticPr fontId="2"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sheetPr enableFormatConditionsCalculation="0">
    <tabColor indexed="14"/>
  </sheetPr>
  <dimension ref="A1:U39"/>
  <sheetViews>
    <sheetView zoomScale="80" zoomScaleNormal="80" workbookViewId="0">
      <pane xSplit="1" ySplit="2" topLeftCell="B3" activePane="bottomRight" state="frozen"/>
      <selection pane="topRight" activeCell="B1" sqref="B1"/>
      <selection pane="bottomLeft" activeCell="A3" sqref="A3"/>
      <selection pane="bottomRight" activeCell="M4" sqref="M4"/>
    </sheetView>
  </sheetViews>
  <sheetFormatPr defaultRowHeight="12.75"/>
  <cols>
    <col min="1" max="1" width="6.5703125" style="37" customWidth="1"/>
    <col min="2" max="2" width="5.28515625" customWidth="1"/>
    <col min="3" max="3" width="11.85546875" customWidth="1"/>
    <col min="12" max="12" width="13.28515625" customWidth="1"/>
    <col min="13" max="13" width="9.42578125" customWidth="1"/>
    <col min="15" max="15" width="10" customWidth="1"/>
    <col min="17" max="17" width="2" customWidth="1"/>
    <col min="18" max="18" width="9.42578125" customWidth="1"/>
    <col min="19" max="19" width="10" style="115" customWidth="1"/>
  </cols>
  <sheetData>
    <row r="1" spans="1:21" ht="13.5" thickBot="1">
      <c r="C1" s="150" t="s">
        <v>13</v>
      </c>
      <c r="D1" s="151"/>
      <c r="E1" s="151"/>
      <c r="F1" s="151"/>
      <c r="G1" s="151"/>
      <c r="H1" s="151"/>
      <c r="I1" s="151"/>
      <c r="J1" s="151"/>
      <c r="K1" s="151"/>
      <c r="L1" s="151"/>
      <c r="M1" s="151"/>
      <c r="N1" s="152"/>
    </row>
    <row r="2" spans="1:21" s="1" customFormat="1" ht="38.25">
      <c r="A2" s="1" t="s">
        <v>168</v>
      </c>
      <c r="B2" s="1" t="s">
        <v>122</v>
      </c>
      <c r="C2" s="1" t="s">
        <v>123</v>
      </c>
      <c r="D2" s="1" t="s">
        <v>124</v>
      </c>
      <c r="E2" s="1" t="s">
        <v>177</v>
      </c>
      <c r="F2" s="1" t="s">
        <v>125</v>
      </c>
      <c r="G2" s="1" t="s">
        <v>126</v>
      </c>
      <c r="H2" s="1" t="s">
        <v>9</v>
      </c>
      <c r="I2" s="1" t="s">
        <v>127</v>
      </c>
      <c r="J2" s="1" t="s">
        <v>167</v>
      </c>
      <c r="K2" s="1" t="s">
        <v>12</v>
      </c>
      <c r="L2" s="1" t="s">
        <v>139</v>
      </c>
      <c r="M2" s="1" t="s">
        <v>178</v>
      </c>
      <c r="N2" s="1" t="s">
        <v>128</v>
      </c>
      <c r="O2" s="1" t="s">
        <v>129</v>
      </c>
      <c r="P2" s="1" t="s">
        <v>130</v>
      </c>
      <c r="R2" s="134" t="s">
        <v>267</v>
      </c>
      <c r="S2" s="116" t="s">
        <v>229</v>
      </c>
      <c r="T2" s="120" t="s">
        <v>183</v>
      </c>
      <c r="U2" s="121" t="s">
        <v>184</v>
      </c>
    </row>
    <row r="3" spans="1:21" ht="13.5" thickBot="1">
      <c r="A3" s="37">
        <f>'Q&amp;A'!A4</f>
        <v>64</v>
      </c>
      <c r="B3">
        <v>1</v>
      </c>
      <c r="C3" s="22">
        <f ca="1">Housing!E3</f>
        <v>8397.7825538639208</v>
      </c>
      <c r="D3" s="22">
        <f ca="1">'Med + Ins'!E3</f>
        <v>10473.662451813321</v>
      </c>
      <c r="E3" s="22">
        <f ca="1">Car!D5</f>
        <v>8398.713546081859</v>
      </c>
      <c r="F3" s="22">
        <f ca="1">Food!D4</f>
        <v>10892.608949885855</v>
      </c>
      <c r="G3" s="22">
        <f ca="1">Travel!D3</f>
        <v>4189.4649807253281</v>
      </c>
      <c r="H3" s="27">
        <f>'Q&amp;A'!A29</f>
        <v>780</v>
      </c>
      <c r="I3" s="22">
        <f ca="1">Charity!D4</f>
        <v>209.47324903626642</v>
      </c>
      <c r="J3" s="27">
        <f>'Q&amp;A'!A30</f>
        <v>4800</v>
      </c>
      <c r="K3" s="27">
        <f>'Q&amp;A'!A31</f>
        <v>2000</v>
      </c>
      <c r="L3" s="22">
        <f ca="1">Tax!E4</f>
        <v>8119.2207357888747</v>
      </c>
      <c r="M3" s="22">
        <f>option!B4</f>
        <v>0</v>
      </c>
      <c r="N3" s="22">
        <f ca="1">Misc!D3</f>
        <v>9426.2962066319888</v>
      </c>
      <c r="O3" s="22">
        <f ca="1">SUM(C3:N3)</f>
        <v>67687.222673827418</v>
      </c>
      <c r="P3" s="22">
        <f ca="1">O3/12</f>
        <v>5640.6018894856179</v>
      </c>
      <c r="Q3" s="28"/>
      <c r="R3" s="77">
        <f ca="1">S3</f>
        <v>4.7366245181332187E-2</v>
      </c>
      <c r="S3" s="117">
        <f t="shared" ref="S3:S37" ca="1" si="0">RAND()*($U$3-$T$3)+$T$3</f>
        <v>4.7366245181332187E-2</v>
      </c>
      <c r="T3" s="122">
        <f>'Q&amp;A'!A24</f>
        <v>0</v>
      </c>
      <c r="U3" s="123">
        <f>'Q&amp;A'!A25</f>
        <v>0.12</v>
      </c>
    </row>
    <row r="4" spans="1:21">
      <c r="A4" s="37">
        <f>A3+1</f>
        <v>65</v>
      </c>
      <c r="B4">
        <v>2</v>
      </c>
      <c r="C4" s="22">
        <f ca="1">Housing!E4</f>
        <v>8844.5733841595138</v>
      </c>
      <c r="D4" s="22">
        <f ca="1">'Med + Ins'!E4</f>
        <v>11030.897211473577</v>
      </c>
      <c r="E4" s="22">
        <f ca="1">Car!D6</f>
        <v>8845.5539083560889</v>
      </c>
      <c r="F4" s="22">
        <f ca="1">Food!D5</f>
        <v>11472.13309993252</v>
      </c>
      <c r="G4" s="22">
        <f ca="1">Travel!D4</f>
        <v>8824.7177691788602</v>
      </c>
      <c r="H4" s="22">
        <f t="shared" ref="H4:H37" ca="1" si="1">H3*(1+R4)</f>
        <v>821.49867484604192</v>
      </c>
      <c r="I4" s="22">
        <f ca="1">Charity!D5</f>
        <v>132.37076653768293</v>
      </c>
      <c r="J4" s="22">
        <v>4800</v>
      </c>
      <c r="K4" s="22">
        <f ca="1">K3*(1+R4)</f>
        <v>2106.4068585795949</v>
      </c>
      <c r="L4" s="22">
        <f ca="1">Tax!E5</f>
        <v>8504.6811002036266</v>
      </c>
      <c r="M4" s="22">
        <f>option!B5</f>
        <v>20000</v>
      </c>
      <c r="N4" s="22">
        <f ca="1">Misc!D4</f>
        <v>9927.8074903262186</v>
      </c>
      <c r="O4" s="22">
        <f t="shared" ref="O4:O37" ca="1" si="2">SUM(C4:N4)</f>
        <v>95310.640263593741</v>
      </c>
      <c r="P4" s="22">
        <f t="shared" ref="P4:P37" ca="1" si="3">O4/12</f>
        <v>7942.5533552994784</v>
      </c>
      <c r="Q4" s="28"/>
      <c r="R4" s="77">
        <f ca="1">S3-(S3-S6)/3</f>
        <v>5.3203429289797315E-2</v>
      </c>
      <c r="S4" s="117">
        <f t="shared" ca="1" si="0"/>
        <v>3.89748790017466E-2</v>
      </c>
    </row>
    <row r="5" spans="1:21">
      <c r="A5" s="37">
        <f t="shared" ref="A5:A37" si="4">A4+1</f>
        <v>66</v>
      </c>
      <c r="B5">
        <v>3</v>
      </c>
      <c r="C5" s="22">
        <f ca="1">Housing!E5</f>
        <v>9366.7624220062371</v>
      </c>
      <c r="D5" s="22">
        <f ca="1">'Med + Ins'!E5</f>
        <v>17523.252223758238</v>
      </c>
      <c r="E5" s="22">
        <f ca="1">Car!D7</f>
        <v>9367.8008369528288</v>
      </c>
      <c r="F5" s="22">
        <f ca="1">Food!D6</f>
        <v>9719.5639001112359</v>
      </c>
      <c r="G5" s="22">
        <f ca="1">Travel!D5</f>
        <v>14018.601779006589</v>
      </c>
      <c r="H5" s="22">
        <f t="shared" ca="1" si="1"/>
        <v>870.00046051481195</v>
      </c>
      <c r="I5" s="22">
        <f ca="1">Charity!D6</f>
        <v>140.1860177900659</v>
      </c>
      <c r="J5" s="22">
        <v>4800</v>
      </c>
      <c r="K5" s="22">
        <f t="shared" ref="K5:K37" ca="1" si="5">K4*(1+R5)</f>
        <v>2230.7704115764409</v>
      </c>
      <c r="L5" s="22">
        <f ca="1">Tax!E6</f>
        <v>9817.2547318443176</v>
      </c>
      <c r="M5" s="22">
        <f>option!B6</f>
        <v>0</v>
      </c>
      <c r="N5" s="22">
        <f ca="1">Misc!D5</f>
        <v>10513.951334254942</v>
      </c>
      <c r="O5" s="22">
        <f t="shared" ca="1" si="2"/>
        <v>88368.144117815697</v>
      </c>
      <c r="P5" s="22">
        <f t="shared" ca="1" si="3"/>
        <v>7364.012009817975</v>
      </c>
      <c r="Q5" s="28"/>
      <c r="R5" s="77">
        <f ca="1">S3-2*(S3-S6)/3</f>
        <v>5.9040613398262436E-2</v>
      </c>
      <c r="S5" s="117">
        <f t="shared" ca="1" si="0"/>
        <v>8.5525066957369583E-2</v>
      </c>
      <c r="U5" s="45"/>
    </row>
    <row r="6" spans="1:21">
      <c r="A6" s="37">
        <f t="shared" si="4"/>
        <v>67</v>
      </c>
      <c r="B6">
        <v>4</v>
      </c>
      <c r="C6" s="22">
        <f ca="1">Housing!E6</f>
        <v>9974.4573377147826</v>
      </c>
      <c r="D6" s="22">
        <f ca="1">'Med + Ins'!E6</f>
        <v>18660.122233190541</v>
      </c>
      <c r="E6" s="22">
        <f ca="1">Car!D8</f>
        <v>9975.5631227360082</v>
      </c>
      <c r="F6" s="22">
        <f ca="1">Food!D7</f>
        <v>10350.147798676353</v>
      </c>
      <c r="G6" s="22">
        <f ca="1">Travel!D6</f>
        <v>14928.097786552429</v>
      </c>
      <c r="H6" s="22">
        <f t="shared" ca="1" si="1"/>
        <v>926.44417422285164</v>
      </c>
      <c r="I6" s="22">
        <f ca="1">Charity!D7</f>
        <v>124.40081488793693</v>
      </c>
      <c r="J6" s="22">
        <v>4800</v>
      </c>
      <c r="K6" s="22">
        <f t="shared" ca="1" si="5"/>
        <v>2375.4978826226966</v>
      </c>
      <c r="L6" s="22">
        <f ca="1">Tax!E7</f>
        <v>10602.545809342115</v>
      </c>
      <c r="M6" s="22">
        <f>option!B7</f>
        <v>0</v>
      </c>
      <c r="N6" s="22">
        <f ca="1">Misc!D6</f>
        <v>11196.073339914323</v>
      </c>
      <c r="O6" s="22">
        <f ca="1">SUM(C6:N6)</f>
        <v>93913.350299860045</v>
      </c>
      <c r="P6" s="22">
        <f t="shared" ca="1" si="3"/>
        <v>7826.1125249883371</v>
      </c>
      <c r="Q6" s="28"/>
      <c r="R6" s="77">
        <f t="shared" ref="R6" ca="1" si="6">S6</f>
        <v>6.4877797506727564E-2</v>
      </c>
      <c r="S6" s="117">
        <f t="shared" ca="1" si="0"/>
        <v>6.4877797506727564E-2</v>
      </c>
      <c r="U6" s="45"/>
    </row>
    <row r="7" spans="1:21">
      <c r="A7" s="37">
        <f t="shared" si="4"/>
        <v>68</v>
      </c>
      <c r="B7">
        <v>5</v>
      </c>
      <c r="C7" s="22">
        <f ca="1">Housing!E7</f>
        <v>10769.1514187925</v>
      </c>
      <c r="D7" s="22">
        <f ca="1">'Med + Ins'!E7</f>
        <v>20146.828546007422</v>
      </c>
      <c r="E7" s="22">
        <f ca="1">Car!D9</f>
        <v>10770.345304928558</v>
      </c>
      <c r="F7" s="22">
        <f ca="1">Food!D8</f>
        <v>11174.774233518783</v>
      </c>
      <c r="G7" s="22">
        <f ca="1">Travel!D7</f>
        <v>16117.462836805937</v>
      </c>
      <c r="H7" s="22">
        <f t="shared" ca="1" si="1"/>
        <v>1000.2566811870161</v>
      </c>
      <c r="I7" s="22">
        <f ca="1">Charity!D8</f>
        <v>134.31219030671613</v>
      </c>
      <c r="J7" s="22">
        <v>4800</v>
      </c>
      <c r="K7" s="22">
        <f t="shared" ca="1" si="5"/>
        <v>2564.760720992349</v>
      </c>
      <c r="L7" s="22">
        <f ca="1">Tax!E8</f>
        <v>11573.189188608296</v>
      </c>
      <c r="M7" s="22">
        <f>option!B8</f>
        <v>0</v>
      </c>
      <c r="N7" s="22">
        <f ca="1">Misc!D7</f>
        <v>12088.097127604451</v>
      </c>
      <c r="O7" s="22">
        <f t="shared" ca="1" si="2"/>
        <v>101139.17824875202</v>
      </c>
      <c r="P7" s="22">
        <f t="shared" ca="1" si="3"/>
        <v>8428.2648540626687</v>
      </c>
      <c r="Q7" s="28"/>
      <c r="R7" s="77">
        <f t="shared" ref="R7" ca="1" si="7">S6-(S6-S9)/3</f>
        <v>7.9672913941179618E-2</v>
      </c>
      <c r="S7" s="117">
        <f t="shared" ca="1" si="0"/>
        <v>1.5961818282424999E-2</v>
      </c>
      <c r="U7" s="45"/>
    </row>
    <row r="8" spans="1:21">
      <c r="A8" s="37">
        <f t="shared" si="4"/>
        <v>69</v>
      </c>
      <c r="B8">
        <v>6</v>
      </c>
      <c r="C8" s="22">
        <f ca="1">Housing!E8</f>
        <v>11786.491942142768</v>
      </c>
      <c r="D8" s="22">
        <f ca="1">'Med + Ins'!E8</f>
        <v>22050.059757064297</v>
      </c>
      <c r="E8" s="22">
        <f ca="1">Car!D10</f>
        <v>11787.798612350593</v>
      </c>
      <c r="F8" s="22">
        <f ca="1">Food!D9</f>
        <v>12230.433145251664</v>
      </c>
      <c r="G8" s="22">
        <f ca="1">Travel!D8</f>
        <v>17640.047805651437</v>
      </c>
      <c r="H8" s="22">
        <f t="shared" ca="1" si="1"/>
        <v>1094.7489597288197</v>
      </c>
      <c r="I8" s="22">
        <f ca="1">Charity!D9</f>
        <v>147.00039838042863</v>
      </c>
      <c r="J8" s="22">
        <v>4800</v>
      </c>
      <c r="K8" s="22">
        <f t="shared" ca="1" si="5"/>
        <v>2807.0486146892813</v>
      </c>
      <c r="L8" s="22">
        <f ca="1">Tax!E9</f>
        <v>12821.836035324784</v>
      </c>
      <c r="M8" s="22">
        <f>option!B9</f>
        <v>-4000</v>
      </c>
      <c r="N8" s="22">
        <f ca="1">Misc!D8</f>
        <v>13230.035854238577</v>
      </c>
      <c r="O8" s="22">
        <f t="shared" ca="1" si="2"/>
        <v>106395.50112482265</v>
      </c>
      <c r="P8" s="22">
        <f t="shared" ca="1" si="3"/>
        <v>8866.2917604018876</v>
      </c>
      <c r="Q8" s="28"/>
      <c r="R8" s="77">
        <f t="shared" ref="R8" ca="1" si="8">S6-2*(S6-S9)/3</f>
        <v>9.4468030375631687E-2</v>
      </c>
      <c r="S8" s="117">
        <f t="shared" ca="1" si="0"/>
        <v>1.4756077124416932E-3</v>
      </c>
      <c r="U8" s="45"/>
    </row>
    <row r="9" spans="1:21">
      <c r="A9" s="37">
        <f t="shared" si="4"/>
        <v>70</v>
      </c>
      <c r="B9">
        <v>7</v>
      </c>
      <c r="C9" s="22">
        <f ca="1">Housing!E9</f>
        <v>13074.321141592982</v>
      </c>
      <c r="D9" s="22">
        <f ca="1">'Med + Ins'!E9</f>
        <v>24459.318673471535</v>
      </c>
      <c r="E9" s="22">
        <f ca="1">Car!D11</f>
        <v>13075.770582699557</v>
      </c>
      <c r="F9" s="22">
        <f ca="1">Food!D10</f>
        <v>13566.768757552209</v>
      </c>
      <c r="G9" s="22">
        <f ca="1">Travel!D9</f>
        <v>19567.454938777228</v>
      </c>
      <c r="H9" s="22">
        <f t="shared" ca="1" si="1"/>
        <v>1214.3646760358563</v>
      </c>
      <c r="I9" s="22">
        <f ca="1">Charity!D10</f>
        <v>163.0621244898102</v>
      </c>
      <c r="J9" s="22">
        <v>4800</v>
      </c>
      <c r="K9" s="22">
        <f t="shared" ca="1" si="5"/>
        <v>3113.7555795791186</v>
      </c>
      <c r="L9" s="22">
        <f ca="1">Tax!E10</f>
        <v>14410.535429580603</v>
      </c>
      <c r="M9" s="22">
        <f>option!B10</f>
        <v>0</v>
      </c>
      <c r="N9" s="22">
        <f ca="1">Misc!D9</f>
        <v>14675.591204082919</v>
      </c>
      <c r="O9" s="22">
        <f t="shared" ca="1" si="2"/>
        <v>122120.94310786181</v>
      </c>
      <c r="P9" s="22">
        <f t="shared" ca="1" si="3"/>
        <v>10176.745258988483</v>
      </c>
      <c r="Q9" s="28"/>
      <c r="R9" s="77">
        <f t="shared" ref="R9" ca="1" si="9">S9</f>
        <v>0.10926314681008374</v>
      </c>
      <c r="S9" s="117">
        <f t="shared" ca="1" si="0"/>
        <v>0.10926314681008374</v>
      </c>
      <c r="U9" s="45"/>
    </row>
    <row r="10" spans="1:21">
      <c r="A10" s="37">
        <f t="shared" si="4"/>
        <v>71</v>
      </c>
      <c r="B10">
        <v>8</v>
      </c>
      <c r="C10" s="22">
        <f ca="1">Housing!E10</f>
        <v>14300.381455675575</v>
      </c>
      <c r="D10" s="22">
        <f ca="1">'Med + Ins'!E10</f>
        <v>26753.02093229405</v>
      </c>
      <c r="E10" s="22">
        <f ca="1">Car!D12</f>
        <v>14301.96681987897</v>
      </c>
      <c r="F10" s="22">
        <f ca="1">Food!D11</f>
        <v>12984.132825806706</v>
      </c>
      <c r="G10" s="22">
        <f ca="1">Travel!D10</f>
        <v>7134.1389152784122</v>
      </c>
      <c r="H10" s="22">
        <f t="shared" ca="1" si="1"/>
        <v>1328.243195615338</v>
      </c>
      <c r="I10" s="22">
        <f ca="1">Charity!D11</f>
        <v>178.35347288196027</v>
      </c>
      <c r="J10" s="22">
        <v>4800</v>
      </c>
      <c r="K10" s="22">
        <f t="shared" ca="1" si="5"/>
        <v>3405.7517836290717</v>
      </c>
      <c r="L10" s="22">
        <f ca="1">Tax!E11</f>
        <v>16103.142621361003</v>
      </c>
      <c r="M10" s="22">
        <f>option!B11</f>
        <v>0</v>
      </c>
      <c r="N10" s="22">
        <f ca="1">Misc!D10</f>
        <v>16051.812559376427</v>
      </c>
      <c r="O10" s="22">
        <f t="shared" ca="1" si="2"/>
        <v>117340.94458179754</v>
      </c>
      <c r="P10" s="22">
        <f t="shared" ca="1" si="3"/>
        <v>9778.4120484831274</v>
      </c>
      <c r="Q10" s="28"/>
      <c r="R10" s="77">
        <f t="shared" ref="R10" ca="1" si="10">S9-(S9-S12)/3</f>
        <v>9.3776212225823413E-2</v>
      </c>
      <c r="S10" s="117">
        <f t="shared" ca="1" si="0"/>
        <v>6.3845341297119162E-4</v>
      </c>
      <c r="U10" s="45"/>
    </row>
    <row r="11" spans="1:21">
      <c r="A11" s="37">
        <f t="shared" si="4"/>
        <v>72</v>
      </c>
      <c r="B11">
        <v>9</v>
      </c>
      <c r="C11" s="22">
        <f ca="1">Housing!E11</f>
        <v>15419.94798983922</v>
      </c>
      <c r="D11" s="22">
        <f ca="1">'Med + Ins'!E11</f>
        <v>28847.495615812972</v>
      </c>
      <c r="E11" s="22">
        <f ca="1">Car!D13</f>
        <v>15421.657471060898</v>
      </c>
      <c r="F11" s="22">
        <f ca="1">Food!D12</f>
        <v>14000.651205541222</v>
      </c>
      <c r="G11" s="22">
        <f ca="1">Travel!D11</f>
        <v>7692.6654975501242</v>
      </c>
      <c r="H11" s="22">
        <f t="shared" ca="1" si="1"/>
        <v>1432.2303959323842</v>
      </c>
      <c r="I11" s="22">
        <f ca="1">Charity!D12</f>
        <v>192.31663743875305</v>
      </c>
      <c r="J11" s="22">
        <v>4800</v>
      </c>
      <c r="K11" s="22">
        <f t="shared" ca="1" si="5"/>
        <v>3672.385630595857</v>
      </c>
      <c r="L11" s="22">
        <f ca="1">Tax!E12</f>
        <v>17646.322030784424</v>
      </c>
      <c r="M11" s="22">
        <f>option!B12</f>
        <v>0</v>
      </c>
      <c r="N11" s="22">
        <f ca="1">Misc!D11</f>
        <v>17308.497369487777</v>
      </c>
      <c r="O11" s="22">
        <f t="shared" ca="1" si="2"/>
        <v>126434.16984404364</v>
      </c>
      <c r="P11" s="22">
        <f t="shared" ca="1" si="3"/>
        <v>10536.180820336971</v>
      </c>
      <c r="Q11" s="28"/>
      <c r="R11" s="77">
        <f t="shared" ref="R11" ca="1" si="11">S9-2*(S9-S12)/3</f>
        <v>7.8289277641563071E-2</v>
      </c>
      <c r="S11" s="117">
        <f t="shared" ca="1" si="0"/>
        <v>6.5146123392958763E-2</v>
      </c>
      <c r="U11" s="45"/>
    </row>
    <row r="12" spans="1:21">
      <c r="A12" s="37">
        <f t="shared" si="4"/>
        <v>73</v>
      </c>
      <c r="B12">
        <v>10</v>
      </c>
      <c r="C12" s="22">
        <f ca="1">Housing!E12</f>
        <v>16388.356853422869</v>
      </c>
      <c r="D12" s="22">
        <f ca="1">'Med + Ins'!E12</f>
        <v>34747.077389397469</v>
      </c>
      <c r="E12" s="22">
        <f ca="1">Car!D14</f>
        <v>16390.173694070683</v>
      </c>
      <c r="F12" s="22">
        <f ca="1">Food!D13</f>
        <v>14879.92490557726</v>
      </c>
      <c r="G12" s="22">
        <f ca="1">Travel!D12</f>
        <v>24527.348745457031</v>
      </c>
      <c r="H12" s="22">
        <f t="shared" ca="1" si="1"/>
        <v>1522.1778205948265</v>
      </c>
      <c r="I12" s="22">
        <f ca="1">Charity!D13</f>
        <v>204.39457287880853</v>
      </c>
      <c r="J12" s="22">
        <v>4800</v>
      </c>
      <c r="K12" s="22">
        <f t="shared" ca="1" si="5"/>
        <v>3903.0200528072473</v>
      </c>
      <c r="L12" s="22">
        <f ca="1">Tax!E13</f>
        <v>18977.096313916794</v>
      </c>
      <c r="M12" s="22">
        <f>option!B13</f>
        <v>0</v>
      </c>
      <c r="N12" s="22">
        <f ca="1">Misc!D12</f>
        <v>18395.511559092771</v>
      </c>
      <c r="O12" s="22">
        <f t="shared" ca="1" si="2"/>
        <v>154735.08190721576</v>
      </c>
      <c r="P12" s="22">
        <f t="shared" ca="1" si="3"/>
        <v>12894.590158934647</v>
      </c>
      <c r="Q12" s="28"/>
      <c r="R12" s="77">
        <f t="shared" ref="R12" ca="1" si="12">S12</f>
        <v>6.2802343057302742E-2</v>
      </c>
      <c r="S12" s="117">
        <f t="shared" ca="1" si="0"/>
        <v>6.2802343057302742E-2</v>
      </c>
      <c r="U12" s="45"/>
    </row>
    <row r="13" spans="1:21">
      <c r="A13" s="37">
        <f t="shared" si="4"/>
        <v>74</v>
      </c>
      <c r="B13">
        <v>11</v>
      </c>
      <c r="C13" s="22">
        <f ca="1">Housing!E13</f>
        <v>17447.244450675989</v>
      </c>
      <c r="D13" s="22">
        <f ca="1">'Med + Ins'!E13</f>
        <v>36992.162092977298</v>
      </c>
      <c r="E13" s="22">
        <f ca="1">Car!D15</f>
        <v>17449.178681373665</v>
      </c>
      <c r="F13" s="22">
        <f ca="1">Food!D14</f>
        <v>15841.349413933798</v>
      </c>
      <c r="G13" s="22">
        <f ca="1">Travel!D13</f>
        <v>8704.0381395240693</v>
      </c>
      <c r="H13" s="22">
        <f t="shared" ca="1" si="1"/>
        <v>1620.5290604084144</v>
      </c>
      <c r="I13" s="22">
        <f ca="1">Charity!D14</f>
        <v>217.60095348810165</v>
      </c>
      <c r="J13" s="22">
        <v>4800</v>
      </c>
      <c r="K13" s="22">
        <f t="shared" ca="1" si="5"/>
        <v>4155.2027189959344</v>
      </c>
      <c r="L13" s="22">
        <f ca="1">Tax!E14</f>
        <v>20290.909016773454</v>
      </c>
      <c r="M13" s="22">
        <f>option!B14</f>
        <v>0</v>
      </c>
      <c r="N13" s="22">
        <f ca="1">Misc!D13</f>
        <v>19584.085813929152</v>
      </c>
      <c r="O13" s="22">
        <f t="shared" ca="1" si="2"/>
        <v>147102.30034207989</v>
      </c>
      <c r="P13" s="22">
        <f t="shared" ca="1" si="3"/>
        <v>12258.525028506658</v>
      </c>
      <c r="Q13" s="28"/>
      <c r="R13" s="77">
        <f t="shared" ref="R13" ca="1" si="13">S12-(S12-S15)/3</f>
        <v>6.4612188197010312E-2</v>
      </c>
      <c r="S13" s="117">
        <f t="shared" ca="1" si="0"/>
        <v>8.8291872129487955E-2</v>
      </c>
      <c r="U13" s="45"/>
    </row>
    <row r="14" spans="1:21">
      <c r="A14" s="37">
        <f t="shared" si="4"/>
        <v>75</v>
      </c>
      <c r="B14">
        <v>12</v>
      </c>
      <c r="C14" s="22">
        <f ca="1">Housing!E14</f>
        <v>18606.125903212655</v>
      </c>
      <c r="D14" s="22">
        <f ca="1">'Med + Ins'!E14</f>
        <v>39449.256716714306</v>
      </c>
      <c r="E14" s="22">
        <f ca="1">Car!D16</f>
        <v>18608.188609446213</v>
      </c>
      <c r="F14" s="22">
        <f ca="1">Food!D15</f>
        <v>16893.564052804704</v>
      </c>
      <c r="G14" s="22">
        <f ca="1">Travel!D14</f>
        <v>9282.1780509916007</v>
      </c>
      <c r="H14" s="22">
        <f t="shared" ca="1" si="1"/>
        <v>1728.1678956819821</v>
      </c>
      <c r="I14" s="22">
        <f ca="1">Charity!D15</f>
        <v>232.05445127478993</v>
      </c>
      <c r="J14" s="22">
        <v>4800</v>
      </c>
      <c r="K14" s="22">
        <f t="shared" ca="1" si="5"/>
        <v>4431.1997325179027</v>
      </c>
      <c r="L14" s="22">
        <f ca="1">Tax!E15</f>
        <v>21749.809554609128</v>
      </c>
      <c r="M14" s="22">
        <f>option!B15</f>
        <v>0</v>
      </c>
      <c r="N14" s="22">
        <f ca="1">Misc!D14</f>
        <v>20884.900614731097</v>
      </c>
      <c r="O14" s="22">
        <f t="shared" ca="1" si="2"/>
        <v>156665.44558198439</v>
      </c>
      <c r="P14" s="22">
        <f t="shared" ca="1" si="3"/>
        <v>13055.453798498698</v>
      </c>
      <c r="Q14" s="28"/>
      <c r="R14" s="77">
        <f t="shared" ref="R14" ca="1" si="14">S12-2*(S12-S15)/3</f>
        <v>6.6422033336717895E-2</v>
      </c>
      <c r="S14" s="117">
        <f t="shared" ca="1" si="0"/>
        <v>5.2702630291947848E-2</v>
      </c>
      <c r="U14" s="45"/>
    </row>
    <row r="15" spans="1:21">
      <c r="A15" s="37">
        <f t="shared" si="4"/>
        <v>76</v>
      </c>
      <c r="B15">
        <v>13</v>
      </c>
      <c r="C15" s="22">
        <f ca="1">Housing!E15</f>
        <v>19875.656824757734</v>
      </c>
      <c r="D15" s="22">
        <f ca="1">'Med + Ins'!E15</f>
        <v>37183.194359112764</v>
      </c>
      <c r="E15" s="22">
        <f ca="1">Car!D17</f>
        <v>13914.502191318645</v>
      </c>
      <c r="F15" s="22">
        <f ca="1">Food!D16</f>
        <v>18046.243662289387</v>
      </c>
      <c r="G15" s="22">
        <f ca="1">Travel!D15</f>
        <v>9915.5184957634046</v>
      </c>
      <c r="H15" s="22">
        <f t="shared" ca="1" si="1"/>
        <v>1846.0840375270152</v>
      </c>
      <c r="I15" s="22">
        <f ca="1">Charity!D16</f>
        <v>247.88796239408501</v>
      </c>
      <c r="J15" s="22">
        <v>4800</v>
      </c>
      <c r="K15" s="22">
        <f t="shared" ca="1" si="5"/>
        <v>4733.5488141718333</v>
      </c>
      <c r="L15" s="22">
        <f ca="1">Tax!E16</f>
        <v>23366.061920965134</v>
      </c>
      <c r="M15" s="22">
        <f>option!B16</f>
        <v>0</v>
      </c>
      <c r="N15" s="22">
        <f ca="1">Misc!D15</f>
        <v>22309.916615467653</v>
      </c>
      <c r="O15" s="22">
        <f t="shared" ca="1" si="2"/>
        <v>156238.6148837677</v>
      </c>
      <c r="P15" s="22">
        <f t="shared" ca="1" si="3"/>
        <v>13019.884573647309</v>
      </c>
      <c r="Q15" s="28"/>
      <c r="R15" s="77">
        <f t="shared" ref="R15" ca="1" si="15">S15</f>
        <v>6.8231878476425464E-2</v>
      </c>
      <c r="S15" s="117">
        <f t="shared" ca="1" si="0"/>
        <v>6.8231878476425464E-2</v>
      </c>
      <c r="U15" s="45"/>
    </row>
    <row r="16" spans="1:21">
      <c r="A16" s="37">
        <f t="shared" si="4"/>
        <v>77</v>
      </c>
      <c r="B16">
        <v>14</v>
      </c>
      <c r="C16" s="22">
        <f ca="1">Housing!E16</f>
        <v>21105.275163609047</v>
      </c>
      <c r="D16" s="22">
        <f ca="1">'Med + Ins'!E16</f>
        <v>39483.552937657252</v>
      </c>
      <c r="E16" s="22">
        <f ca="1">Car!D18</f>
        <v>14775.33045079634</v>
      </c>
      <c r="F16" s="22">
        <f ca="1">Food!D17</f>
        <v>19162.684359076309</v>
      </c>
      <c r="G16" s="22">
        <f ca="1">Travel!D16</f>
        <v>10528.947450041935</v>
      </c>
      <c r="H16" s="22">
        <f t="shared" ca="1" si="1"/>
        <v>1960.2930323601488</v>
      </c>
      <c r="I16" s="22">
        <f ca="1">Charity!D17</f>
        <v>263.22368625104826</v>
      </c>
      <c r="J16" s="22">
        <v>4800</v>
      </c>
      <c r="K16" s="22">
        <f t="shared" ca="1" si="5"/>
        <v>5026.3923906670479</v>
      </c>
      <c r="L16" s="22">
        <f ca="1">Tax!E17</f>
        <v>25040.463732302982</v>
      </c>
      <c r="M16" s="22">
        <f>option!B17</f>
        <v>0</v>
      </c>
      <c r="N16" s="22">
        <f ca="1">Misc!D16</f>
        <v>23690.131762594345</v>
      </c>
      <c r="O16" s="22">
        <f t="shared" ca="1" si="2"/>
        <v>165836.29496535644</v>
      </c>
      <c r="P16" s="22">
        <f t="shared" ca="1" si="3"/>
        <v>13819.691247113036</v>
      </c>
      <c r="Q16" s="28"/>
      <c r="R16" s="77">
        <f t="shared" ref="R16" ca="1" si="16">S15-(S15-S18)/3</f>
        <v>6.1865544856845228E-2</v>
      </c>
      <c r="S16" s="117">
        <f t="shared" ca="1" si="0"/>
        <v>5.7179946089747379E-2</v>
      </c>
      <c r="U16" s="45"/>
    </row>
    <row r="17" spans="1:21">
      <c r="A17" s="37">
        <f t="shared" si="4"/>
        <v>78</v>
      </c>
      <c r="B17">
        <v>15</v>
      </c>
      <c r="C17" s="22">
        <f ca="1">Housing!E17</f>
        <v>22276.601288134789</v>
      </c>
      <c r="D17" s="22">
        <f ca="1">'Med + Ins'!E17</f>
        <v>41674.858982542028</v>
      </c>
      <c r="E17" s="22">
        <f ca="1">Car!D19</f>
        <v>15595.349636585481</v>
      </c>
      <c r="F17" s="22">
        <f ca="1">Food!D18</f>
        <v>20226.198226193723</v>
      </c>
      <c r="G17" s="22">
        <f ca="1">Travel!D17</f>
        <v>22226.591457355749</v>
      </c>
      <c r="H17" s="22">
        <f t="shared" ca="1" si="1"/>
        <v>2069.0877494500432</v>
      </c>
      <c r="I17" s="22">
        <f ca="1">Charity!D18</f>
        <v>277.83239321694674</v>
      </c>
      <c r="J17" s="22">
        <v>4800</v>
      </c>
      <c r="K17" s="22">
        <f t="shared" ca="1" si="5"/>
        <v>5305.3532037180594</v>
      </c>
      <c r="L17" s="22">
        <f ca="1">Tax!E18</f>
        <v>33135.152168040258</v>
      </c>
      <c r="M17" s="22">
        <f>option!B18</f>
        <v>0</v>
      </c>
      <c r="N17" s="22">
        <f ca="1">Misc!D17</f>
        <v>25004.915389525209</v>
      </c>
      <c r="O17" s="22">
        <f t="shared" ca="1" si="2"/>
        <v>192591.9404947623</v>
      </c>
      <c r="P17" s="22">
        <f t="shared" ca="1" si="3"/>
        <v>16049.328374563525</v>
      </c>
      <c r="Q17" s="28"/>
      <c r="R17" s="77">
        <f t="shared" ref="R17" ca="1" si="17">S15-2*(S15-S18)/3</f>
        <v>5.5499211237264999E-2</v>
      </c>
      <c r="S17" s="117">
        <f t="shared" ca="1" si="0"/>
        <v>5.5969760888029643E-2</v>
      </c>
      <c r="U17" s="45"/>
    </row>
    <row r="18" spans="1:21">
      <c r="A18" s="37">
        <f t="shared" si="4"/>
        <v>79</v>
      </c>
      <c r="B18">
        <v>16</v>
      </c>
      <c r="C18" s="22">
        <f ca="1">Housing!E18</f>
        <v>23371.114812962674</v>
      </c>
      <c r="D18" s="22">
        <f ca="1">'Med + Ins'!E18</f>
        <v>43722.464728665531</v>
      </c>
      <c r="E18" s="22">
        <f ca="1">Car!D20</f>
        <v>16361.594041684839</v>
      </c>
      <c r="F18" s="22">
        <f ca="1">Food!D19</f>
        <v>21219.969548312329</v>
      </c>
      <c r="G18" s="22">
        <f ca="1">Travel!D18</f>
        <v>11659.323927644144</v>
      </c>
      <c r="H18" s="22">
        <f t="shared" ca="1" si="1"/>
        <v>2170.747984624023</v>
      </c>
      <c r="I18" s="22">
        <f ca="1">Charity!D19</f>
        <v>291.48309819110347</v>
      </c>
      <c r="J18" s="22">
        <v>4800</v>
      </c>
      <c r="K18" s="22">
        <f t="shared" ca="1" si="5"/>
        <v>5566.0204733949304</v>
      </c>
      <c r="L18" s="22">
        <f ca="1">Tax!E19</f>
        <v>34858.294778549847</v>
      </c>
      <c r="M18" s="22">
        <f>option!B19</f>
        <v>0</v>
      </c>
      <c r="N18" s="22">
        <f ca="1">Misc!D18</f>
        <v>26233.478837199313</v>
      </c>
      <c r="O18" s="22">
        <f t="shared" ca="1" si="2"/>
        <v>190254.49223122874</v>
      </c>
      <c r="P18" s="22">
        <f t="shared" ca="1" si="3"/>
        <v>15854.541019269062</v>
      </c>
      <c r="Q18" s="28"/>
      <c r="R18" s="77">
        <f t="shared" ref="R18" ca="1" si="18">S18</f>
        <v>4.9132877617684763E-2</v>
      </c>
      <c r="S18" s="117">
        <f t="shared" ca="1" si="0"/>
        <v>4.9132877617684763E-2</v>
      </c>
      <c r="U18" s="45"/>
    </row>
    <row r="19" spans="1:21">
      <c r="A19" s="37">
        <f t="shared" si="4"/>
        <v>80</v>
      </c>
      <c r="B19">
        <v>17</v>
      </c>
      <c r="C19" s="22">
        <f ca="1">Housing!E19</f>
        <v>24784.351916779786</v>
      </c>
      <c r="D19" s="22">
        <f ca="1">'Med + Ins'!E19</f>
        <v>46366.335588887116</v>
      </c>
      <c r="E19" s="22">
        <f ca="1">Car!D21</f>
        <v>17350.969686036944</v>
      </c>
      <c r="F19" s="22">
        <f ca="1">Food!D20</f>
        <v>22503.128205806537</v>
      </c>
      <c r="G19" s="22">
        <f ca="1">Travel!D19</f>
        <v>12364.356157036567</v>
      </c>
      <c r="H19" s="22">
        <f t="shared" ca="1" si="1"/>
        <v>2302.0117955058795</v>
      </c>
      <c r="I19" s="22">
        <f ca="1">Charity!D20</f>
        <v>309.10890392591403</v>
      </c>
      <c r="J19" s="22">
        <v>4800</v>
      </c>
      <c r="K19" s="22">
        <f t="shared" ca="1" si="5"/>
        <v>5902.5943474509722</v>
      </c>
      <c r="L19" s="22">
        <f ca="1">Tax!E20</f>
        <v>36847.641501410093</v>
      </c>
      <c r="M19" s="22">
        <f>option!B20</f>
        <v>0</v>
      </c>
      <c r="N19" s="22">
        <f ca="1">Misc!D19</f>
        <v>27819.801353332263</v>
      </c>
      <c r="O19" s="22">
        <f t="shared" ca="1" si="2"/>
        <v>201350.29945617207</v>
      </c>
      <c r="P19" s="22">
        <f t="shared" ca="1" si="3"/>
        <v>16779.191621347672</v>
      </c>
      <c r="Q19" s="28"/>
      <c r="R19" s="77">
        <f t="shared" ref="R19" ca="1" si="19">S18-(S18-S21)/3</f>
        <v>6.046939203059612E-2</v>
      </c>
      <c r="S19" s="117">
        <f t="shared" ca="1" si="0"/>
        <v>9.5375035178427436E-2</v>
      </c>
      <c r="U19" s="45"/>
    </row>
    <row r="20" spans="1:21">
      <c r="A20" s="37">
        <f t="shared" si="4"/>
        <v>81</v>
      </c>
      <c r="B20">
        <v>18</v>
      </c>
      <c r="C20" s="22">
        <f ca="1">Housing!E20</f>
        <v>26564.014771779039</v>
      </c>
      <c r="D20" s="22">
        <f ca="1">'Med + Ins'!E20</f>
        <v>49695.712344311018</v>
      </c>
      <c r="E20" s="22">
        <f ca="1">Car!D22</f>
        <v>13283.479851440463</v>
      </c>
      <c r="F20" s="22">
        <f ca="1">Food!D21</f>
        <v>20673.416335233374</v>
      </c>
      <c r="G20" s="22">
        <f ca="1">Travel!D20</f>
        <v>6626.0949792414704</v>
      </c>
      <c r="H20" s="22">
        <f t="shared" ca="1" si="1"/>
        <v>2467.3098391258254</v>
      </c>
      <c r="I20" s="22">
        <f ca="1">Charity!D21</f>
        <v>331.30474896207335</v>
      </c>
      <c r="J20" s="22">
        <v>4800</v>
      </c>
      <c r="K20" s="22">
        <f t="shared" ca="1" si="5"/>
        <v>6326.4354849380125</v>
      </c>
      <c r="L20" s="22">
        <f ca="1">Tax!E21</f>
        <v>39426.181103171344</v>
      </c>
      <c r="M20" s="22">
        <f>option!B21</f>
        <v>0</v>
      </c>
      <c r="N20" s="22">
        <f ca="1">Misc!D20</f>
        <v>29817.427406586601</v>
      </c>
      <c r="O20" s="22">
        <f t="shared" ca="1" si="2"/>
        <v>200011.37686478923</v>
      </c>
      <c r="P20" s="22">
        <f t="shared" ca="1" si="3"/>
        <v>16667.614738732434</v>
      </c>
      <c r="Q20" s="28"/>
      <c r="R20" s="77">
        <f t="shared" ref="R20" ca="1" si="20">S18-2*(S18-S21)/3</f>
        <v>7.1805906443507483E-2</v>
      </c>
      <c r="S20" s="117">
        <f t="shared" ca="1" si="0"/>
        <v>3.7810504310507122E-2</v>
      </c>
      <c r="U20" s="45"/>
    </row>
    <row r="21" spans="1:21">
      <c r="A21" s="37">
        <f t="shared" si="4"/>
        <v>82</v>
      </c>
      <c r="B21">
        <v>19</v>
      </c>
      <c r="C21" s="22">
        <f ca="1">Housing!E21</f>
        <v>28772.611267570421</v>
      </c>
      <c r="D21" s="22">
        <f ca="1">'Med + Ins'!E21</f>
        <v>53827.534174801243</v>
      </c>
      <c r="E21" s="22">
        <f ca="1">Car!D23</f>
        <v>14387.900523686687</v>
      </c>
      <c r="F21" s="22">
        <f ca="1">Food!D22</f>
        <v>22392.254216717312</v>
      </c>
      <c r="G21" s="22">
        <f ca="1">Travel!D21</f>
        <v>7177.0045566401686</v>
      </c>
      <c r="H21" s="22">
        <f t="shared" ca="1" si="1"/>
        <v>2672.4479521536077</v>
      </c>
      <c r="I21" s="22">
        <f ca="1">Charity!D22</f>
        <v>358.85022783200827</v>
      </c>
      <c r="J21" s="22">
        <v>4800</v>
      </c>
      <c r="K21" s="22">
        <f t="shared" ca="1" si="5"/>
        <v>6852.4306465477111</v>
      </c>
      <c r="L21" s="22">
        <f ca="1">Tax!E22</f>
        <v>42675.705439748461</v>
      </c>
      <c r="M21" s="22">
        <f>option!B22</f>
        <v>0</v>
      </c>
      <c r="N21" s="22">
        <f ca="1">Misc!D21</f>
        <v>32296.520504880744</v>
      </c>
      <c r="O21" s="22">
        <f t="shared" ca="1" si="2"/>
        <v>216213.25951057835</v>
      </c>
      <c r="P21" s="22">
        <f t="shared" ca="1" si="3"/>
        <v>18017.771625881531</v>
      </c>
      <c r="Q21" s="28"/>
      <c r="R21" s="77">
        <f t="shared" ref="R21" ca="1" si="21">S21</f>
        <v>8.3142420856418833E-2</v>
      </c>
      <c r="S21" s="117">
        <f t="shared" ca="1" si="0"/>
        <v>8.3142420856418833E-2</v>
      </c>
      <c r="U21" s="45"/>
    </row>
    <row r="22" spans="1:21">
      <c r="A22" s="37">
        <f t="shared" si="4"/>
        <v>83</v>
      </c>
      <c r="B22">
        <v>20</v>
      </c>
      <c r="C22" s="22">
        <f ca="1">Housing!E22</f>
        <v>31063.352033737705</v>
      </c>
      <c r="D22" s="22">
        <f ca="1">'Med + Ins'!E22</f>
        <v>58113.030744084026</v>
      </c>
      <c r="E22" s="22">
        <f ca="1">Car!D24</f>
        <v>15533.397884446456</v>
      </c>
      <c r="F22" s="22">
        <f ca="1">Food!D23</f>
        <v>24175.020789538947</v>
      </c>
      <c r="G22" s="22">
        <f ca="1">Travel!D22</f>
        <v>15496.80819842241</v>
      </c>
      <c r="H22" s="22">
        <f t="shared" ca="1" si="1"/>
        <v>2885.2157615306633</v>
      </c>
      <c r="I22" s="22">
        <f ca="1">Charity!D23</f>
        <v>387.42020496056011</v>
      </c>
      <c r="J22" s="22">
        <v>4800</v>
      </c>
      <c r="K22" s="22">
        <f t="shared" ca="1" si="5"/>
        <v>7397.9891321299046</v>
      </c>
      <c r="L22" s="22">
        <f ca="1">Tax!E23</f>
        <v>46260.417934695077</v>
      </c>
      <c r="M22" s="22">
        <f>option!B23</f>
        <v>0</v>
      </c>
      <c r="N22" s="22">
        <f ca="1">Misc!D22</f>
        <v>34867.818446450408</v>
      </c>
      <c r="O22" s="22">
        <f t="shared" ca="1" si="2"/>
        <v>240980.47112999615</v>
      </c>
      <c r="P22" s="22">
        <f t="shared" ca="1" si="3"/>
        <v>20081.705927499679</v>
      </c>
      <c r="Q22" s="28"/>
      <c r="R22" s="77">
        <f t="shared" ref="R22" ca="1" si="22">S21-(S21-S24)/3</f>
        <v>7.9615323922621425E-2</v>
      </c>
      <c r="S22" s="117">
        <f t="shared" ca="1" si="0"/>
        <v>7.6075196562783595E-2</v>
      </c>
    </row>
    <row r="23" spans="1:21">
      <c r="A23" s="37">
        <f t="shared" si="4"/>
        <v>84</v>
      </c>
      <c r="B23">
        <v>21</v>
      </c>
      <c r="C23" s="22">
        <f ca="1">Housing!E23</f>
        <v>33426.90741431449</v>
      </c>
      <c r="D23" s="22">
        <f ca="1">'Med + Ins'!E23</f>
        <v>62534.74821834841</v>
      </c>
      <c r="E23" s="22">
        <f ca="1">Car!D25</f>
        <v>16715.30658858594</v>
      </c>
      <c r="F23" s="22">
        <f ca="1">Food!D24</f>
        <v>26014.455258832928</v>
      </c>
      <c r="G23" s="22">
        <f ca="1">Travel!D23</f>
        <v>16675.932858226246</v>
      </c>
      <c r="H23" s="22">
        <f t="shared" ca="1" si="1"/>
        <v>3104.7467133057412</v>
      </c>
      <c r="I23" s="22">
        <f ca="1">Charity!D24</f>
        <v>416.89832145565595</v>
      </c>
      <c r="J23" s="22">
        <v>4800</v>
      </c>
      <c r="K23" s="22">
        <f t="shared" ca="1" si="5"/>
        <v>7960.8890084762588</v>
      </c>
      <c r="L23" s="22">
        <f ca="1">Tax!E24</f>
        <v>49913.081448530938</v>
      </c>
      <c r="M23" s="22">
        <f>option!B24</f>
        <v>0</v>
      </c>
      <c r="N23" s="22">
        <f ca="1">Misc!D23</f>
        <v>37520.848931009037</v>
      </c>
      <c r="O23" s="22">
        <f t="shared" ca="1" si="2"/>
        <v>259083.81476108564</v>
      </c>
      <c r="P23" s="22">
        <f t="shared" ca="1" si="3"/>
        <v>21590.317896757137</v>
      </c>
      <c r="Q23" s="28"/>
      <c r="R23" s="77">
        <f t="shared" ref="R23" ca="1" si="23">S21-2*(S21-S24)/3</f>
        <v>7.6088226988824031E-2</v>
      </c>
      <c r="S23" s="117">
        <f t="shared" ca="1" si="0"/>
        <v>0.11506671684885347</v>
      </c>
    </row>
    <row r="24" spans="1:21">
      <c r="A24" s="37">
        <f t="shared" si="4"/>
        <v>85</v>
      </c>
      <c r="B24">
        <v>22</v>
      </c>
      <c r="C24" s="22">
        <f ca="1">Housing!E24</f>
        <v>35852.4015905419</v>
      </c>
      <c r="D24" s="22">
        <f ca="1">'Med + Ins'!E24</f>
        <v>67072.340216778321</v>
      </c>
      <c r="E24" s="22">
        <f ca="1">Car!D26</f>
        <v>17928.188123869968</v>
      </c>
      <c r="F24" s="22">
        <f ca="1">Food!D25</f>
        <v>27902.093530179776</v>
      </c>
      <c r="G24" s="22">
        <f ca="1">Travel!D24</f>
        <v>8942.9786955704458</v>
      </c>
      <c r="H24" s="22">
        <f t="shared" ca="1" si="1"/>
        <v>3330.0306433578357</v>
      </c>
      <c r="I24" s="22">
        <f ca="1">Charity!D25</f>
        <v>447.14893477852212</v>
      </c>
      <c r="J24" s="22">
        <v>4800</v>
      </c>
      <c r="K24" s="22">
        <f t="shared" ca="1" si="5"/>
        <v>8538.5401111739375</v>
      </c>
      <c r="L24" s="22">
        <f ca="1">Tax!E25</f>
        <v>57939.252226685494</v>
      </c>
      <c r="M24" s="22">
        <f>option!B25</f>
        <v>0</v>
      </c>
      <c r="N24" s="22">
        <f ca="1">Misc!D24</f>
        <v>40243.404130066992</v>
      </c>
      <c r="O24" s="22">
        <f t="shared" ca="1" si="2"/>
        <v>272996.3782030032</v>
      </c>
      <c r="P24" s="22">
        <f t="shared" ca="1" si="3"/>
        <v>22749.698183583601</v>
      </c>
      <c r="Q24" s="28"/>
      <c r="R24" s="77">
        <f t="shared" ref="R24" ca="1" si="24">S24</f>
        <v>7.2561130055026624E-2</v>
      </c>
      <c r="S24" s="117">
        <f t="shared" ca="1" si="0"/>
        <v>7.2561130055026624E-2</v>
      </c>
    </row>
    <row r="25" spans="1:21">
      <c r="A25" s="37">
        <f t="shared" si="4"/>
        <v>86</v>
      </c>
      <c r="B25">
        <v>23</v>
      </c>
      <c r="C25" s="22">
        <f ca="1">Housing!E25</f>
        <v>38053.469268497225</v>
      </c>
      <c r="D25" s="22">
        <f ca="1">'Med + Ins'!E25</f>
        <v>71190.077204721689</v>
      </c>
      <c r="E25" s="22">
        <f ca="1">Car!D27</f>
        <v>19028.843969869493</v>
      </c>
      <c r="F25" s="22">
        <f ca="1">Food!D26</f>
        <v>24679.226764303508</v>
      </c>
      <c r="G25" s="22">
        <f ca="1">Travel!D25</f>
        <v>7593.6082351703153</v>
      </c>
      <c r="H25" s="22">
        <f t="shared" ca="1" si="1"/>
        <v>3534.4694672727533</v>
      </c>
      <c r="I25" s="22">
        <f ca="1">Charity!D26</f>
        <v>474.60051469814448</v>
      </c>
      <c r="J25" s="22">
        <v>4800</v>
      </c>
      <c r="K25" s="22">
        <f t="shared" ca="1" si="5"/>
        <v>9062.7422237762894</v>
      </c>
      <c r="L25" s="22">
        <f ca="1">Tax!E26</f>
        <v>62066.98031746089</v>
      </c>
      <c r="M25" s="22">
        <f>option!B26</f>
        <v>0</v>
      </c>
      <c r="N25" s="22">
        <f ca="1">Misc!D25</f>
        <v>42714.046322833005</v>
      </c>
      <c r="O25" s="22">
        <f t="shared" ca="1" si="2"/>
        <v>283198.06428860332</v>
      </c>
      <c r="P25" s="22">
        <f t="shared" ca="1" si="3"/>
        <v>23599.838690716944</v>
      </c>
      <c r="Q25" s="28"/>
      <c r="R25" s="77">
        <f t="shared" ref="R25" ca="1" si="25">S24-(S24-S27)/3</f>
        <v>6.1392475268267112E-2</v>
      </c>
      <c r="S25" s="117">
        <f t="shared" ca="1" si="0"/>
        <v>0.10528499708261214</v>
      </c>
    </row>
    <row r="26" spans="1:21">
      <c r="A26" s="37">
        <f t="shared" si="4"/>
        <v>87</v>
      </c>
      <c r="B26">
        <v>24</v>
      </c>
      <c r="C26" s="22">
        <f ca="1">Housing!E26</f>
        <v>39964.659877736791</v>
      </c>
      <c r="D26" s="22">
        <f ca="1">'Med + Ins'!E26</f>
        <v>74765.514862316282</v>
      </c>
      <c r="E26" s="22">
        <f ca="1">Car!D28</f>
        <v>19984.545213382837</v>
      </c>
      <c r="F26" s="22">
        <f ca="1">Food!D27</f>
        <v>25918.711818936303</v>
      </c>
      <c r="G26" s="22">
        <f ca="1">Travel!D26</f>
        <v>7974.9882519804059</v>
      </c>
      <c r="H26" s="22">
        <f t="shared" ca="1" si="1"/>
        <v>3711.9840272944298</v>
      </c>
      <c r="I26" s="22">
        <f ca="1">Charity!D27</f>
        <v>498.43676574877514</v>
      </c>
      <c r="J26" s="22">
        <v>4800</v>
      </c>
      <c r="K26" s="22">
        <f t="shared" ca="1" si="5"/>
        <v>9517.9077622934074</v>
      </c>
      <c r="L26" s="22">
        <f ca="1">Tax!E27</f>
        <v>65647.33195239566</v>
      </c>
      <c r="M26" s="22">
        <f>option!B27</f>
        <v>0</v>
      </c>
      <c r="N26" s="22">
        <f ca="1">Misc!D26</f>
        <v>44859.308917389768</v>
      </c>
      <c r="O26" s="22">
        <f t="shared" ca="1" si="2"/>
        <v>297643.38944947469</v>
      </c>
      <c r="P26" s="22">
        <f t="shared" ca="1" si="3"/>
        <v>24803.615787456223</v>
      </c>
      <c r="Q26" s="28"/>
      <c r="R26" s="77">
        <f t="shared" ref="R26" ca="1" si="26">S24-2*(S24-S27)/3</f>
        <v>5.02238204815076E-2</v>
      </c>
      <c r="S26" s="117">
        <f t="shared" ca="1" si="0"/>
        <v>2.3211752546855279E-2</v>
      </c>
    </row>
    <row r="27" spans="1:21">
      <c r="A27" s="37">
        <f t="shared" si="4"/>
        <v>88</v>
      </c>
      <c r="B27">
        <v>25</v>
      </c>
      <c r="C27" s="22">
        <f ca="1">Housing!E27</f>
        <v>41525.486291196044</v>
      </c>
      <c r="D27" s="22">
        <f ca="1">'Med + Ins'!E27</f>
        <v>77685.494433517189</v>
      </c>
      <c r="E27" s="22">
        <f ca="1">Car!D29</f>
        <v>20765.044938025687</v>
      </c>
      <c r="F27" s="22">
        <f ca="1">Food!D28</f>
        <v>26930.971403619282</v>
      </c>
      <c r="G27" s="22">
        <f ca="1">Travel!D27</f>
        <v>8286.4527395751702</v>
      </c>
      <c r="H27" s="22">
        <f t="shared" ca="1" si="1"/>
        <v>3856.9561785366718</v>
      </c>
      <c r="I27" s="22">
        <f ca="1">Charity!D28</f>
        <v>517.9032962234478</v>
      </c>
      <c r="J27" s="22">
        <v>4800</v>
      </c>
      <c r="K27" s="22">
        <f t="shared" ca="1" si="5"/>
        <v>9889.6312270171038</v>
      </c>
      <c r="L27" s="22">
        <f ca="1">Tax!E28</f>
        <v>68569.679973028658</v>
      </c>
      <c r="M27" s="22">
        <f>option!B28</f>
        <v>0</v>
      </c>
      <c r="N27" s="22">
        <f ca="1">Misc!D27</f>
        <v>46611.296660110311</v>
      </c>
      <c r="O27" s="22">
        <f t="shared" ca="1" si="2"/>
        <v>309438.91714084952</v>
      </c>
      <c r="P27" s="22">
        <f t="shared" ca="1" si="3"/>
        <v>25786.576428404125</v>
      </c>
      <c r="Q27" s="28"/>
      <c r="R27" s="77">
        <f t="shared" ref="R27" ca="1" si="27">S27</f>
        <v>3.9055165694748088E-2</v>
      </c>
      <c r="S27" s="117">
        <f t="shared" ca="1" si="0"/>
        <v>3.9055165694748088E-2</v>
      </c>
    </row>
    <row r="28" spans="1:21">
      <c r="A28" s="37">
        <f t="shared" si="4"/>
        <v>89</v>
      </c>
      <c r="B28">
        <v>26</v>
      </c>
      <c r="C28" s="22">
        <f ca="1">Housing!E28</f>
        <v>43228.123592858545</v>
      </c>
      <c r="D28" s="22">
        <f ca="1">'Med + Ins'!E28</f>
        <v>80870.772498488193</v>
      </c>
      <c r="E28" s="22">
        <f ca="1">Car!D30</f>
        <v>21616.457967466271</v>
      </c>
      <c r="F28" s="22">
        <f ca="1">Food!D29</f>
        <v>28035.20113280923</v>
      </c>
      <c r="G28" s="22">
        <f ca="1">Travel!D28</f>
        <v>8626.2157331720773</v>
      </c>
      <c r="H28" s="22">
        <f t="shared" ca="1" si="1"/>
        <v>4015.0999607528111</v>
      </c>
      <c r="I28" s="22">
        <f ca="1">Charity!D29</f>
        <v>539.13848332325449</v>
      </c>
      <c r="J28" s="22">
        <v>4800</v>
      </c>
      <c r="K28" s="22">
        <f t="shared" ca="1" si="5"/>
        <v>10295.128104494384</v>
      </c>
      <c r="L28" s="22">
        <f ca="1">Tax!E29</f>
        <v>71336.893353999738</v>
      </c>
      <c r="M28" s="22">
        <f>option!B29</f>
        <v>0</v>
      </c>
      <c r="N28" s="22">
        <f ca="1">Misc!D28</f>
        <v>48522.463499092912</v>
      </c>
      <c r="O28" s="22">
        <f t="shared" ca="1" si="2"/>
        <v>321885.49432645744</v>
      </c>
      <c r="P28" s="22">
        <f t="shared" ca="1" si="3"/>
        <v>26823.791193871453</v>
      </c>
      <c r="Q28" s="28"/>
      <c r="R28" s="77">
        <f t="shared" ref="R28" ca="1" si="28">S27-(S27-S30)/3</f>
        <v>4.100222426590773E-2</v>
      </c>
      <c r="S28" s="117">
        <f t="shared" ca="1" si="0"/>
        <v>0.11780313603242497</v>
      </c>
    </row>
    <row r="29" spans="1:21">
      <c r="A29" s="37">
        <f t="shared" si="4"/>
        <v>90</v>
      </c>
      <c r="B29">
        <v>27</v>
      </c>
      <c r="C29" s="22">
        <f ca="1">Housing!E29</f>
        <v>45084.740499563937</v>
      </c>
      <c r="D29" s="22">
        <f ca="1">'Med + Ins'!E29</f>
        <v>84344.114179777898</v>
      </c>
      <c r="E29" s="22">
        <f ca="1">Car!D31</f>
        <v>22544.869334646559</v>
      </c>
      <c r="F29" s="22">
        <f ca="1">Food!D30</f>
        <v>29239.292915656326</v>
      </c>
      <c r="G29" s="22">
        <f ca="1">Travel!D29</f>
        <v>8996.7055125096449</v>
      </c>
      <c r="H29" s="22">
        <f t="shared" ca="1" si="1"/>
        <v>4187.5456245862815</v>
      </c>
      <c r="I29" s="22">
        <f ca="1">Charity!D30</f>
        <v>562.29409453185247</v>
      </c>
      <c r="J29" s="22">
        <v>4800</v>
      </c>
      <c r="K29" s="22">
        <f t="shared" ca="1" si="5"/>
        <v>10737.296473298156</v>
      </c>
      <c r="L29" s="22">
        <f ca="1">Tax!E30</f>
        <v>74383.524096475492</v>
      </c>
      <c r="M29" s="22">
        <f>option!B30</f>
        <v>0</v>
      </c>
      <c r="N29" s="22">
        <f ca="1">Misc!D29</f>
        <v>50606.468507866732</v>
      </c>
      <c r="O29" s="22">
        <f t="shared" ca="1" si="2"/>
        <v>335486.8512389129</v>
      </c>
      <c r="P29" s="22">
        <f t="shared" ca="1" si="3"/>
        <v>27957.237603242742</v>
      </c>
      <c r="Q29" s="28"/>
      <c r="R29" s="77">
        <f t="shared" ref="R29" ca="1" si="29">S27-2*(S27-S30)/3</f>
        <v>4.2949282837067365E-2</v>
      </c>
      <c r="S29" s="117">
        <f t="shared" ca="1" si="0"/>
        <v>1.3161010818464545E-4</v>
      </c>
    </row>
    <row r="30" spans="1:21">
      <c r="A30" s="37">
        <f t="shared" si="4"/>
        <v>91</v>
      </c>
      <c r="B30">
        <v>28</v>
      </c>
      <c r="C30" s="22">
        <f ca="1">Housing!E30</f>
        <v>47108.880401333685</v>
      </c>
      <c r="D30" s="22">
        <f ca="1">'Med + Ins'!E30</f>
        <v>88130.856325767701</v>
      </c>
      <c r="E30" s="22">
        <f ca="1">Car!D32</f>
        <v>23557.051485298718</v>
      </c>
      <c r="F30" s="22">
        <f ca="1">Food!D31</f>
        <v>30552.030192932787</v>
      </c>
      <c r="G30" s="22">
        <f ca="1">Travel!D30</f>
        <v>9400.6246747485566</v>
      </c>
      <c r="H30" s="22">
        <f t="shared" ca="1" si="1"/>
        <v>4375.5511026102349</v>
      </c>
      <c r="I30" s="22">
        <f ca="1">Charity!D31</f>
        <v>587.53904217178444</v>
      </c>
      <c r="J30" s="22">
        <v>4800</v>
      </c>
      <c r="K30" s="22">
        <f t="shared" ca="1" si="5"/>
        <v>11219.361801564703</v>
      </c>
      <c r="L30" s="22">
        <f ca="1">Tax!E31</f>
        <v>77734.231270812685</v>
      </c>
      <c r="M30" s="22">
        <f>option!B31</f>
        <v>0</v>
      </c>
      <c r="N30" s="22">
        <f ca="1">Misc!D30</f>
        <v>52878.513795460611</v>
      </c>
      <c r="O30" s="22">
        <f t="shared" ca="1" si="2"/>
        <v>350344.64009270148</v>
      </c>
      <c r="P30" s="22">
        <f t="shared" ca="1" si="3"/>
        <v>29195.38667439179</v>
      </c>
      <c r="Q30" s="28"/>
      <c r="R30" s="77">
        <f t="shared" ref="R30" ca="1" si="30">S30</f>
        <v>4.4896341408227007E-2</v>
      </c>
      <c r="S30" s="117">
        <f t="shared" ca="1" si="0"/>
        <v>4.4896341408227007E-2</v>
      </c>
    </row>
    <row r="31" spans="1:21">
      <c r="A31" s="37">
        <f t="shared" si="4"/>
        <v>92</v>
      </c>
      <c r="B31">
        <v>29</v>
      </c>
      <c r="C31" s="22">
        <f ca="1">Housing!E31</f>
        <v>48972.7903277933</v>
      </c>
      <c r="D31" s="22">
        <f ca="1">'Med + Ins'!E31</f>
        <v>91617.841720740791</v>
      </c>
      <c r="E31" s="22">
        <f ca="1">Car!D33</f>
        <v>24489.109766614303</v>
      </c>
      <c r="F31" s="22">
        <f ca="1">Food!D32</f>
        <v>31760.851796523461</v>
      </c>
      <c r="G31" s="22">
        <f ca="1">Travel!D31</f>
        <v>9772.5697835456867</v>
      </c>
      <c r="H31" s="22">
        <f t="shared" ca="1" si="1"/>
        <v>4548.6741542388545</v>
      </c>
      <c r="I31" s="22">
        <f ca="1">Charity!D32</f>
        <v>610.78561147160508</v>
      </c>
      <c r="J31" s="22">
        <v>4800</v>
      </c>
      <c r="K31" s="22">
        <f t="shared" ca="1" si="5"/>
        <v>11663.267062150906</v>
      </c>
      <c r="L31" s="22">
        <f ca="1">Tax!E32</f>
        <v>81077.359052805958</v>
      </c>
      <c r="M31" s="22">
        <f>option!B32</f>
        <v>0</v>
      </c>
      <c r="N31" s="22">
        <f ca="1">Misc!D31</f>
        <v>54970.705032444464</v>
      </c>
      <c r="O31" s="22">
        <f t="shared" ca="1" si="2"/>
        <v>364283.95430832927</v>
      </c>
      <c r="P31" s="22">
        <f t="shared" ca="1" si="3"/>
        <v>30356.996192360773</v>
      </c>
      <c r="Q31" s="28"/>
      <c r="R31" s="77">
        <f t="shared" ref="R31" ca="1" si="31">S30-(S30-S33)/3</f>
        <v>3.9565999246436029E-2</v>
      </c>
      <c r="S31" s="117">
        <f t="shared" ca="1" si="0"/>
        <v>6.8136066843918625E-2</v>
      </c>
    </row>
    <row r="32" spans="1:21">
      <c r="A32" s="37">
        <f t="shared" si="4"/>
        <v>93</v>
      </c>
      <c r="B32">
        <v>30</v>
      </c>
      <c r="C32" s="22">
        <f ca="1">Housing!E32</f>
        <v>50649.405983933859</v>
      </c>
      <c r="D32" s="22">
        <f ca="1">'Med + Ins'!E32</f>
        <v>94754.438732727373</v>
      </c>
      <c r="E32" s="22">
        <f ca="1">Car!D34</f>
        <v>25327.510530892345</v>
      </c>
      <c r="F32" s="22">
        <f ca="1">Food!D33</f>
        <v>39417.846512814562</v>
      </c>
      <c r="G32" s="22">
        <f ca="1">Travel!D32</f>
        <v>10107.140131490924</v>
      </c>
      <c r="H32" s="22">
        <f t="shared" ca="1" si="1"/>
        <v>4704.4010027731647</v>
      </c>
      <c r="I32" s="22">
        <f ca="1">Charity!D33</f>
        <v>631.69625821818227</v>
      </c>
      <c r="J32" s="22">
        <v>4800</v>
      </c>
      <c r="K32" s="22">
        <f t="shared" ca="1" si="5"/>
        <v>12062.566673777341</v>
      </c>
      <c r="L32" s="22">
        <f ca="1">Tax!E33</f>
        <v>84104.284356954158</v>
      </c>
      <c r="M32" s="22">
        <f>option!B33</f>
        <v>0</v>
      </c>
      <c r="N32" s="22">
        <f ca="1">Misc!D32</f>
        <v>56852.663239636408</v>
      </c>
      <c r="O32" s="22">
        <f t="shared" ca="1" si="2"/>
        <v>383411.95342321828</v>
      </c>
      <c r="P32" s="22">
        <f t="shared" ca="1" si="3"/>
        <v>31950.996118601524</v>
      </c>
      <c r="Q32" s="28"/>
      <c r="R32" s="77">
        <f t="shared" ref="R32" ca="1" si="32">S30-2*(S30-S33)/3</f>
        <v>3.4235657084645058E-2</v>
      </c>
      <c r="S32" s="117">
        <f t="shared" ca="1" si="0"/>
        <v>9.7896704303482684E-2</v>
      </c>
    </row>
    <row r="33" spans="1:19">
      <c r="A33" s="37">
        <f t="shared" si="4"/>
        <v>94</v>
      </c>
      <c r="B33">
        <v>31</v>
      </c>
      <c r="C33" s="22">
        <f ca="1">Housing!E33</f>
        <v>52113.443014554949</v>
      </c>
      <c r="D33" s="22">
        <f ca="1">'Med + Ins'!E33</f>
        <v>97493.345624635127</v>
      </c>
      <c r="E33" s="22">
        <f ca="1">Car!D35</f>
        <v>26059.61019899969</v>
      </c>
      <c r="F33" s="22">
        <f ca="1">Food!D34</f>
        <v>40557.231779848189</v>
      </c>
      <c r="G33" s="22">
        <f ca="1">Travel!D33</f>
        <v>10399.290199961084</v>
      </c>
      <c r="H33" s="22">
        <f t="shared" ca="1" si="1"/>
        <v>4840.3831952817127</v>
      </c>
      <c r="I33" s="22">
        <f ca="1">Charity!D34</f>
        <v>649.9556374975673</v>
      </c>
      <c r="J33" s="22">
        <v>4800</v>
      </c>
      <c r="K33" s="22">
        <f t="shared" ca="1" si="5"/>
        <v>12411.238962260799</v>
      </c>
      <c r="L33" s="22">
        <f ca="1">Tax!E34</f>
        <v>86771.9650585294</v>
      </c>
      <c r="M33" s="22">
        <f>option!B34</f>
        <v>0</v>
      </c>
      <c r="N33" s="22">
        <f ca="1">Misc!D33</f>
        <v>58496.00737478106</v>
      </c>
      <c r="O33" s="22">
        <f t="shared" ca="1" si="2"/>
        <v>394592.47104634962</v>
      </c>
      <c r="P33" s="22">
        <f t="shared" ca="1" si="3"/>
        <v>32882.705920529137</v>
      </c>
      <c r="Q33" s="28"/>
      <c r="R33" s="77">
        <f t="shared" ref="R33" ca="1" si="33">S33</f>
        <v>2.8905314922854079E-2</v>
      </c>
      <c r="S33" s="117">
        <f t="shared" ca="1" si="0"/>
        <v>2.8905314922854079E-2</v>
      </c>
    </row>
    <row r="34" spans="1:19">
      <c r="A34" s="37">
        <f t="shared" si="4"/>
        <v>95</v>
      </c>
      <c r="B34">
        <v>32</v>
      </c>
      <c r="C34" s="22">
        <f ca="1">Housing!E34</f>
        <v>53595.795832124284</v>
      </c>
      <c r="D34" s="22">
        <f ca="1">'Med + Ins'!E34</f>
        <v>100266.51752081122</v>
      </c>
      <c r="E34" s="22">
        <f ca="1">Car!D36</f>
        <v>26800.868775840539</v>
      </c>
      <c r="F34" s="22">
        <f ca="1">Food!D35</f>
        <v>41710.871288657443</v>
      </c>
      <c r="G34" s="22">
        <f ca="1">Travel!D34</f>
        <v>10695.095202219869</v>
      </c>
      <c r="H34" s="22">
        <f t="shared" ca="1" si="1"/>
        <v>4978.0665885212866</v>
      </c>
      <c r="I34" s="22">
        <f ca="1">Charity!D35</f>
        <v>668.44345013874135</v>
      </c>
      <c r="J34" s="22">
        <v>4800</v>
      </c>
      <c r="K34" s="22">
        <f t="shared" ca="1" si="5"/>
        <v>12764.273303900733</v>
      </c>
      <c r="L34" s="22">
        <f ca="1">Tax!E35</f>
        <v>89180.567979099025</v>
      </c>
      <c r="M34" s="22">
        <f>option!B35</f>
        <v>0</v>
      </c>
      <c r="N34" s="22">
        <f ca="1">Misc!D34</f>
        <v>60159.91051248672</v>
      </c>
      <c r="O34" s="22">
        <f t="shared" ca="1" si="2"/>
        <v>405620.41045379988</v>
      </c>
      <c r="P34" s="22">
        <f t="shared" ca="1" si="3"/>
        <v>33801.700871149988</v>
      </c>
      <c r="Q34" s="28"/>
      <c r="R34" s="77">
        <f t="shared" ref="R34" ca="1" si="34">S33-(S33-S36)/3</f>
        <v>2.8444730031660263E-2</v>
      </c>
      <c r="S34" s="117">
        <f t="shared" ca="1" si="0"/>
        <v>1.3031713740833445E-2</v>
      </c>
    </row>
    <row r="35" spans="1:19">
      <c r="A35" s="37">
        <f t="shared" si="4"/>
        <v>96</v>
      </c>
      <c r="B35">
        <v>33</v>
      </c>
      <c r="C35" s="22">
        <f ca="1">Housing!E35</f>
        <v>55095.628361609262</v>
      </c>
      <c r="D35" s="22">
        <f ca="1">'Med + Ins'!E35</f>
        <v>103072.39029984272</v>
      </c>
      <c r="E35" s="22">
        <f ca="1">Car!D37</f>
        <v>27550.868177554257</v>
      </c>
      <c r="F35" s="22">
        <f ca="1">Food!D36</f>
        <v>42878.11436473456</v>
      </c>
      <c r="G35" s="22">
        <f ca="1">Travel!D35</f>
        <v>10994.388298649896</v>
      </c>
      <c r="H35" s="22">
        <f t="shared" ca="1" si="1"/>
        <v>5117.3735264533734</v>
      </c>
      <c r="I35" s="22">
        <f ca="1">Charity!D36</f>
        <v>687.14926866561814</v>
      </c>
      <c r="J35" s="22">
        <v>4800</v>
      </c>
      <c r="K35" s="22">
        <f t="shared" ca="1" si="5"/>
        <v>13121.470580649673</v>
      </c>
      <c r="L35" s="22">
        <f ca="1">Tax!E36</f>
        <v>91521.650015344494</v>
      </c>
      <c r="M35" s="22">
        <f>option!B36</f>
        <v>0</v>
      </c>
      <c r="N35" s="22">
        <f ca="1">Misc!D35</f>
        <v>61843.434179905627</v>
      </c>
      <c r="O35" s="22">
        <f t="shared" ca="1" si="2"/>
        <v>416682.46707340947</v>
      </c>
      <c r="P35" s="22">
        <f t="shared" ca="1" si="3"/>
        <v>34723.538922784122</v>
      </c>
      <c r="Q35" s="28"/>
      <c r="R35" s="77">
        <f t="shared" ref="R35" ca="1" si="35">S33-2*(S33-S36)/3</f>
        <v>2.7984145140466442E-2</v>
      </c>
      <c r="S35" s="117">
        <f t="shared" ca="1" si="0"/>
        <v>7.7609497284891749E-2</v>
      </c>
    </row>
    <row r="36" spans="1:19">
      <c r="A36" s="37">
        <f t="shared" si="4"/>
        <v>97</v>
      </c>
      <c r="B36">
        <v>34</v>
      </c>
      <c r="C36" s="22">
        <f ca="1">Housing!E36</f>
        <v>56612.056208291557</v>
      </c>
      <c r="D36" s="22">
        <f ca="1">'Med + Ins'!E36</f>
        <v>105909.30944429699</v>
      </c>
      <c r="E36" s="22">
        <f ca="1">Car!D38</f>
        <v>28309.166157758944</v>
      </c>
      <c r="F36" s="22">
        <f ca="1">Food!D37</f>
        <v>44058.272728827535</v>
      </c>
      <c r="G36" s="22">
        <f ca="1">Travel!D36</f>
        <v>11296.993007391684</v>
      </c>
      <c r="H36" s="22">
        <f t="shared" ca="1" si="1"/>
        <v>5258.2218650267459</v>
      </c>
      <c r="I36" s="22">
        <f ca="1">Charity!D37</f>
        <v>706.06206296198002</v>
      </c>
      <c r="J36" s="22">
        <v>4800</v>
      </c>
      <c r="K36" s="22">
        <f t="shared" ca="1" si="5"/>
        <v>13482.620166735243</v>
      </c>
      <c r="L36" s="22">
        <f ca="1">Tax!E37</f>
        <v>93795.016432777746</v>
      </c>
      <c r="M36" s="22">
        <f>option!B37</f>
        <v>0</v>
      </c>
      <c r="N36" s="22">
        <f ca="1">Misc!D36</f>
        <v>63545.58566657819</v>
      </c>
      <c r="O36" s="22">
        <f t="shared" ca="1" si="2"/>
        <v>427773.30374064663</v>
      </c>
      <c r="P36" s="22">
        <f t="shared" ca="1" si="3"/>
        <v>35647.77531172055</v>
      </c>
      <c r="Q36" s="28"/>
      <c r="R36" s="77">
        <f t="shared" ref="R36" ca="1" si="36">S36</f>
        <v>2.7523560249272626E-2</v>
      </c>
      <c r="S36" s="117">
        <f t="shared" ca="1" si="0"/>
        <v>2.7523560249272626E-2</v>
      </c>
    </row>
    <row r="37" spans="1:19">
      <c r="A37" s="37">
        <f t="shared" si="4"/>
        <v>98</v>
      </c>
      <c r="B37">
        <v>35</v>
      </c>
      <c r="C37" s="22">
        <f ca="1">Housing!E37</f>
        <v>57650.833101547636</v>
      </c>
      <c r="D37" s="22">
        <f ca="1">'Med + Ins'!E37</f>
        <v>107852.64361726295</v>
      </c>
      <c r="E37" s="22">
        <f ca="1">Car!D39</f>
        <v>28828.612184658774</v>
      </c>
      <c r="F37" s="22">
        <f ca="1">Food!D38</f>
        <v>44866.69974478137</v>
      </c>
      <c r="G37" s="22">
        <f ca="1">Travel!D37</f>
        <v>11504.281985841388</v>
      </c>
      <c r="H37" s="22">
        <f t="shared" ca="1" si="1"/>
        <v>5354.7051892308164</v>
      </c>
      <c r="I37" s="22">
        <f ca="1">Charity!D38</f>
        <v>719.01762411508651</v>
      </c>
      <c r="J37" s="22">
        <v>4800</v>
      </c>
      <c r="K37" s="22">
        <f t="shared" ca="1" si="5"/>
        <v>13730.01330572004</v>
      </c>
      <c r="L37" s="22">
        <f ca="1">Tax!E38</f>
        <v>95581.967278242111</v>
      </c>
      <c r="M37" s="22">
        <f>option!B38</f>
        <v>0</v>
      </c>
      <c r="N37" s="22">
        <f ca="1">Misc!D37</f>
        <v>64711.586170357768</v>
      </c>
      <c r="O37" s="22">
        <f t="shared" ca="1" si="2"/>
        <v>435600.36020175793</v>
      </c>
      <c r="P37" s="22">
        <f t="shared" ca="1" si="3"/>
        <v>36300.030016813158</v>
      </c>
      <c r="Q37" s="28"/>
      <c r="R37" s="77">
        <f t="shared" ref="R37" ca="1" si="37">S36-(S36-S39)/3</f>
        <v>1.8349040166181753E-2</v>
      </c>
      <c r="S37" s="117">
        <f t="shared" ca="1" si="0"/>
        <v>4.0436629047223109E-2</v>
      </c>
    </row>
    <row r="38" spans="1:19">
      <c r="C38" s="28"/>
      <c r="D38" s="28"/>
      <c r="E38" s="28"/>
      <c r="F38" s="28"/>
      <c r="G38" s="28"/>
      <c r="H38" s="28"/>
      <c r="I38" s="28"/>
      <c r="J38" s="28"/>
      <c r="K38" s="28"/>
      <c r="L38" s="28"/>
      <c r="M38" s="28"/>
      <c r="N38" s="28"/>
      <c r="O38" s="28"/>
      <c r="P38" s="28"/>
      <c r="Q38" s="28"/>
    </row>
    <row r="39" spans="1:19">
      <c r="C39" s="28"/>
      <c r="D39" s="28"/>
      <c r="E39" s="28"/>
      <c r="F39" s="28"/>
      <c r="G39" s="28"/>
      <c r="H39" s="28"/>
      <c r="I39" s="28"/>
      <c r="J39" s="28"/>
      <c r="K39" s="28"/>
      <c r="L39" s="28"/>
      <c r="M39" s="28"/>
      <c r="N39" s="28"/>
      <c r="O39" s="28"/>
      <c r="P39" s="28"/>
      <c r="Q39" s="28"/>
    </row>
  </sheetData>
  <mergeCells count="1">
    <mergeCell ref="C1:N1"/>
  </mergeCells>
  <phoneticPr fontId="2"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sheetPr enableFormatConditionsCalculation="0">
    <tabColor rgb="FFFFFF00"/>
  </sheetPr>
  <dimension ref="A1:T42"/>
  <sheetViews>
    <sheetView workbookViewId="0">
      <selection activeCell="M34" sqref="M34"/>
    </sheetView>
  </sheetViews>
  <sheetFormatPr defaultRowHeight="12.75"/>
  <cols>
    <col min="5" max="5" width="12" customWidth="1"/>
  </cols>
  <sheetData>
    <row r="1" spans="1:9">
      <c r="C1" t="s">
        <v>131</v>
      </c>
    </row>
    <row r="2" spans="1:9">
      <c r="A2" s="1" t="s">
        <v>122</v>
      </c>
      <c r="B2" s="1" t="s">
        <v>134</v>
      </c>
      <c r="C2" t="s">
        <v>132</v>
      </c>
      <c r="D2" t="s">
        <v>133</v>
      </c>
      <c r="E2" t="s">
        <v>135</v>
      </c>
      <c r="F2" t="s">
        <v>8</v>
      </c>
      <c r="G2" t="s">
        <v>7</v>
      </c>
      <c r="H2" t="s">
        <v>11</v>
      </c>
      <c r="I2" t="s">
        <v>136</v>
      </c>
    </row>
    <row r="3" spans="1:9">
      <c r="A3">
        <v>1</v>
      </c>
      <c r="B3">
        <f>'Q&amp;A'!A4</f>
        <v>64</v>
      </c>
      <c r="C3" s="58">
        <v>1</v>
      </c>
      <c r="D3" s="58">
        <v>1</v>
      </c>
      <c r="E3" s="58">
        <v>1</v>
      </c>
      <c r="F3" s="58">
        <v>1</v>
      </c>
      <c r="G3" s="58">
        <v>1</v>
      </c>
      <c r="H3" s="58">
        <v>1</v>
      </c>
      <c r="I3" s="58">
        <v>1</v>
      </c>
    </row>
    <row r="4" spans="1:9">
      <c r="A4">
        <v>2</v>
      </c>
      <c r="B4">
        <f>B3+1</f>
        <v>65</v>
      </c>
      <c r="C4" s="58">
        <v>1</v>
      </c>
      <c r="D4" s="58">
        <v>1</v>
      </c>
      <c r="E4" s="58">
        <v>1</v>
      </c>
      <c r="F4" s="58">
        <v>2</v>
      </c>
      <c r="G4" s="58">
        <v>1</v>
      </c>
      <c r="H4" s="58">
        <v>0.6</v>
      </c>
      <c r="I4" s="58">
        <v>1</v>
      </c>
    </row>
    <row r="5" spans="1:9">
      <c r="A5">
        <v>3</v>
      </c>
      <c r="B5">
        <f t="shared" ref="B5:B37" si="0">B4+1</f>
        <v>66</v>
      </c>
      <c r="C5" s="58">
        <v>1</v>
      </c>
      <c r="D5" s="58">
        <v>1.5</v>
      </c>
      <c r="E5" s="58">
        <v>1</v>
      </c>
      <c r="F5" s="58">
        <v>3</v>
      </c>
      <c r="G5" s="58">
        <v>0.8</v>
      </c>
      <c r="H5" s="58">
        <v>0.6</v>
      </c>
      <c r="I5" s="58">
        <v>1</v>
      </c>
    </row>
    <row r="6" spans="1:9">
      <c r="A6">
        <v>4</v>
      </c>
      <c r="B6">
        <f t="shared" si="0"/>
        <v>67</v>
      </c>
      <c r="C6" s="58">
        <v>1</v>
      </c>
      <c r="D6" s="58">
        <v>1.5</v>
      </c>
      <c r="E6" s="58">
        <v>1</v>
      </c>
      <c r="F6" s="58">
        <v>3</v>
      </c>
      <c r="G6" s="58">
        <v>0.8</v>
      </c>
      <c r="H6" s="58">
        <v>0.5</v>
      </c>
      <c r="I6" s="58">
        <v>1</v>
      </c>
    </row>
    <row r="7" spans="1:9">
      <c r="A7">
        <v>5</v>
      </c>
      <c r="B7">
        <f t="shared" si="0"/>
        <v>68</v>
      </c>
      <c r="C7" s="58">
        <v>1</v>
      </c>
      <c r="D7" s="58">
        <v>1.5</v>
      </c>
      <c r="E7" s="58">
        <v>1</v>
      </c>
      <c r="F7" s="58">
        <v>3</v>
      </c>
      <c r="G7" s="58">
        <v>0.8</v>
      </c>
      <c r="H7" s="58">
        <v>0.5</v>
      </c>
      <c r="I7" s="58">
        <v>1</v>
      </c>
    </row>
    <row r="8" spans="1:9">
      <c r="A8">
        <v>6</v>
      </c>
      <c r="B8">
        <f t="shared" si="0"/>
        <v>69</v>
      </c>
      <c r="C8" s="58">
        <v>1</v>
      </c>
      <c r="D8" s="58">
        <v>1.5</v>
      </c>
      <c r="E8" s="58">
        <v>1</v>
      </c>
      <c r="F8" s="58">
        <v>3</v>
      </c>
      <c r="G8" s="58">
        <v>0.8</v>
      </c>
      <c r="H8" s="58">
        <v>0.5</v>
      </c>
      <c r="I8" s="58">
        <v>1</v>
      </c>
    </row>
    <row r="9" spans="1:9">
      <c r="A9">
        <v>7</v>
      </c>
      <c r="B9">
        <f t="shared" si="0"/>
        <v>70</v>
      </c>
      <c r="C9" s="58">
        <v>1</v>
      </c>
      <c r="D9" s="58">
        <v>1.5</v>
      </c>
      <c r="E9" s="58">
        <v>1</v>
      </c>
      <c r="F9" s="58">
        <v>3</v>
      </c>
      <c r="G9" s="58">
        <v>0.8</v>
      </c>
      <c r="H9" s="58">
        <v>0.5</v>
      </c>
      <c r="I9" s="58">
        <v>1</v>
      </c>
    </row>
    <row r="10" spans="1:9">
      <c r="A10">
        <v>8</v>
      </c>
      <c r="B10">
        <f t="shared" si="0"/>
        <v>71</v>
      </c>
      <c r="C10" s="58">
        <v>1</v>
      </c>
      <c r="D10" s="58">
        <v>1.5</v>
      </c>
      <c r="E10" s="58">
        <v>1</v>
      </c>
      <c r="F10" s="58">
        <v>1</v>
      </c>
      <c r="G10" s="58">
        <v>0.7</v>
      </c>
      <c r="H10" s="58">
        <v>0.5</v>
      </c>
      <c r="I10" s="58">
        <v>1</v>
      </c>
    </row>
    <row r="11" spans="1:9">
      <c r="A11">
        <v>9</v>
      </c>
      <c r="B11">
        <f t="shared" si="0"/>
        <v>72</v>
      </c>
      <c r="C11" s="58">
        <v>1</v>
      </c>
      <c r="D11" s="58">
        <v>1.5</v>
      </c>
      <c r="E11" s="58">
        <v>1</v>
      </c>
      <c r="F11" s="58">
        <v>1</v>
      </c>
      <c r="G11" s="58">
        <v>0.7</v>
      </c>
      <c r="H11" s="58">
        <v>0.5</v>
      </c>
      <c r="I11" s="58">
        <v>1</v>
      </c>
    </row>
    <row r="12" spans="1:9">
      <c r="A12">
        <v>10</v>
      </c>
      <c r="B12">
        <f t="shared" si="0"/>
        <v>73</v>
      </c>
      <c r="C12" s="58">
        <v>1</v>
      </c>
      <c r="D12" s="58">
        <v>1.7</v>
      </c>
      <c r="E12" s="58">
        <v>1</v>
      </c>
      <c r="F12" s="58">
        <v>3</v>
      </c>
      <c r="G12" s="58">
        <v>0.7</v>
      </c>
      <c r="H12" s="58">
        <v>0.5</v>
      </c>
      <c r="I12" s="58">
        <v>1</v>
      </c>
    </row>
    <row r="13" spans="1:9">
      <c r="A13">
        <v>11</v>
      </c>
      <c r="B13">
        <f t="shared" si="0"/>
        <v>74</v>
      </c>
      <c r="C13" s="58">
        <v>1</v>
      </c>
      <c r="D13" s="58">
        <v>1.7</v>
      </c>
      <c r="E13" s="58">
        <v>1</v>
      </c>
      <c r="F13" s="58">
        <v>1</v>
      </c>
      <c r="G13" s="58">
        <v>0.7</v>
      </c>
      <c r="H13" s="58">
        <v>0.5</v>
      </c>
      <c r="I13" s="58">
        <v>1</v>
      </c>
    </row>
    <row r="14" spans="1:9">
      <c r="A14">
        <v>12</v>
      </c>
      <c r="B14">
        <f t="shared" si="0"/>
        <v>75</v>
      </c>
      <c r="C14" s="58">
        <v>1</v>
      </c>
      <c r="D14" s="58">
        <v>1.7</v>
      </c>
      <c r="E14" s="58">
        <v>1</v>
      </c>
      <c r="F14" s="58">
        <v>1</v>
      </c>
      <c r="G14" s="58">
        <v>0.7</v>
      </c>
      <c r="H14" s="58">
        <v>0.5</v>
      </c>
      <c r="I14" s="58">
        <v>1</v>
      </c>
    </row>
    <row r="15" spans="1:9">
      <c r="A15">
        <v>13</v>
      </c>
      <c r="B15">
        <f t="shared" si="0"/>
        <v>76</v>
      </c>
      <c r="C15" s="58">
        <v>1</v>
      </c>
      <c r="D15" s="58">
        <v>1.5</v>
      </c>
      <c r="E15" s="58">
        <v>0.7</v>
      </c>
      <c r="F15" s="58">
        <v>1</v>
      </c>
      <c r="G15" s="58">
        <v>0.7</v>
      </c>
      <c r="H15" s="58">
        <v>0.5</v>
      </c>
      <c r="I15" s="58">
        <v>1</v>
      </c>
    </row>
    <row r="16" spans="1:9">
      <c r="A16">
        <v>14</v>
      </c>
      <c r="B16">
        <f t="shared" si="0"/>
        <v>77</v>
      </c>
      <c r="C16" s="58">
        <v>1</v>
      </c>
      <c r="D16" s="58">
        <v>1.5</v>
      </c>
      <c r="E16" s="58">
        <v>0.7</v>
      </c>
      <c r="F16" s="58">
        <v>1</v>
      </c>
      <c r="G16" s="58">
        <v>0.7</v>
      </c>
      <c r="H16" s="58">
        <v>0.5</v>
      </c>
      <c r="I16" s="58">
        <v>1</v>
      </c>
    </row>
    <row r="17" spans="1:20">
      <c r="A17">
        <v>15</v>
      </c>
      <c r="B17">
        <f t="shared" si="0"/>
        <v>78</v>
      </c>
      <c r="C17" s="58">
        <v>1</v>
      </c>
      <c r="D17" s="58">
        <v>1.5</v>
      </c>
      <c r="E17" s="58">
        <v>0.7</v>
      </c>
      <c r="F17" s="58">
        <v>2</v>
      </c>
      <c r="G17" s="58">
        <v>0.7</v>
      </c>
      <c r="H17" s="58">
        <v>0.5</v>
      </c>
      <c r="I17" s="58">
        <v>1</v>
      </c>
    </row>
    <row r="18" spans="1:20">
      <c r="A18">
        <v>16</v>
      </c>
      <c r="B18">
        <f t="shared" si="0"/>
        <v>79</v>
      </c>
      <c r="C18" s="58">
        <v>1</v>
      </c>
      <c r="D18" s="58">
        <v>1.5</v>
      </c>
      <c r="E18" s="58">
        <v>0.7</v>
      </c>
      <c r="F18" s="58">
        <v>1</v>
      </c>
      <c r="G18" s="58">
        <v>0.7</v>
      </c>
      <c r="H18" s="58">
        <v>0.5</v>
      </c>
      <c r="I18" s="58">
        <v>1</v>
      </c>
    </row>
    <row r="19" spans="1:20">
      <c r="A19">
        <v>17</v>
      </c>
      <c r="B19">
        <f t="shared" si="0"/>
        <v>80</v>
      </c>
      <c r="C19" s="58">
        <v>1</v>
      </c>
      <c r="D19" s="58">
        <v>1.5</v>
      </c>
      <c r="E19" s="58">
        <v>0.7</v>
      </c>
      <c r="F19" s="58">
        <v>1</v>
      </c>
      <c r="G19" s="58">
        <v>0.7</v>
      </c>
      <c r="H19" s="58">
        <v>0.5</v>
      </c>
      <c r="I19" s="58">
        <v>1</v>
      </c>
    </row>
    <row r="20" spans="1:20">
      <c r="A20">
        <v>18</v>
      </c>
      <c r="B20">
        <f t="shared" si="0"/>
        <v>81</v>
      </c>
      <c r="C20" s="58">
        <v>1</v>
      </c>
      <c r="D20" s="58">
        <v>1.5</v>
      </c>
      <c r="E20" s="58">
        <v>0.5</v>
      </c>
      <c r="F20" s="58">
        <v>0.5</v>
      </c>
      <c r="G20" s="58">
        <v>0.6</v>
      </c>
      <c r="H20" s="58">
        <v>0.5</v>
      </c>
      <c r="I20" s="58">
        <v>1</v>
      </c>
    </row>
    <row r="21" spans="1:20">
      <c r="A21">
        <v>19</v>
      </c>
      <c r="B21">
        <f t="shared" si="0"/>
        <v>82</v>
      </c>
      <c r="C21" s="58">
        <v>1</v>
      </c>
      <c r="D21" s="58">
        <v>1.5</v>
      </c>
      <c r="E21" s="58">
        <v>0.5</v>
      </c>
      <c r="F21" s="58">
        <v>0.5</v>
      </c>
      <c r="G21" s="58">
        <v>0.6</v>
      </c>
      <c r="H21" s="58">
        <v>0.5</v>
      </c>
      <c r="I21" s="58">
        <v>1</v>
      </c>
    </row>
    <row r="22" spans="1:20">
      <c r="A22">
        <v>20</v>
      </c>
      <c r="B22">
        <f t="shared" si="0"/>
        <v>83</v>
      </c>
      <c r="C22" s="58">
        <v>1</v>
      </c>
      <c r="D22" s="58">
        <v>1.5</v>
      </c>
      <c r="E22" s="58">
        <v>0.5</v>
      </c>
      <c r="F22" s="58">
        <v>1</v>
      </c>
      <c r="G22" s="58">
        <v>0.6</v>
      </c>
      <c r="H22" s="58">
        <v>0.5</v>
      </c>
      <c r="I22" s="58">
        <v>1</v>
      </c>
    </row>
    <row r="23" spans="1:20">
      <c r="A23">
        <v>21</v>
      </c>
      <c r="B23">
        <f t="shared" si="0"/>
        <v>84</v>
      </c>
      <c r="C23" s="58">
        <v>1</v>
      </c>
      <c r="D23" s="58">
        <v>1.5</v>
      </c>
      <c r="E23" s="58">
        <v>0.5</v>
      </c>
      <c r="F23" s="58">
        <v>1</v>
      </c>
      <c r="G23" s="58">
        <v>0.6</v>
      </c>
      <c r="H23" s="58">
        <v>0.5</v>
      </c>
      <c r="I23" s="58">
        <v>1</v>
      </c>
    </row>
    <row r="24" spans="1:20">
      <c r="A24">
        <v>22</v>
      </c>
      <c r="B24">
        <f t="shared" si="0"/>
        <v>85</v>
      </c>
      <c r="C24" s="58">
        <v>1</v>
      </c>
      <c r="D24" s="58">
        <v>1.5</v>
      </c>
      <c r="E24" s="58">
        <v>0.5</v>
      </c>
      <c r="F24" s="58">
        <v>0.5</v>
      </c>
      <c r="G24" s="58">
        <v>0.6</v>
      </c>
      <c r="H24" s="58">
        <v>0.5</v>
      </c>
      <c r="I24" s="58">
        <v>1</v>
      </c>
    </row>
    <row r="25" spans="1:20">
      <c r="A25">
        <v>23</v>
      </c>
      <c r="B25">
        <f t="shared" si="0"/>
        <v>86</v>
      </c>
      <c r="C25" s="58">
        <v>1</v>
      </c>
      <c r="D25" s="58">
        <v>1.5</v>
      </c>
      <c r="E25" s="58">
        <v>0.5</v>
      </c>
      <c r="F25" s="58">
        <v>0.4</v>
      </c>
      <c r="G25" s="58">
        <v>0.5</v>
      </c>
      <c r="H25" s="58">
        <v>0.5</v>
      </c>
      <c r="I25" s="58">
        <v>1</v>
      </c>
      <c r="K25" s="53"/>
      <c r="L25" s="54"/>
      <c r="M25" s="55"/>
      <c r="N25" s="56"/>
      <c r="O25" s="56"/>
      <c r="P25" s="56"/>
      <c r="Q25" s="56"/>
      <c r="R25" s="56"/>
      <c r="S25" s="56"/>
      <c r="T25" s="56"/>
    </row>
    <row r="26" spans="1:20">
      <c r="A26">
        <v>24</v>
      </c>
      <c r="B26">
        <f t="shared" si="0"/>
        <v>87</v>
      </c>
      <c r="C26" s="58">
        <v>1</v>
      </c>
      <c r="D26" s="58">
        <v>1.5</v>
      </c>
      <c r="E26" s="58">
        <v>0.5</v>
      </c>
      <c r="F26" s="58">
        <v>0.4</v>
      </c>
      <c r="G26" s="58">
        <v>0.5</v>
      </c>
      <c r="H26" s="58">
        <v>0.5</v>
      </c>
      <c r="I26" s="58">
        <v>1</v>
      </c>
      <c r="K26" s="51"/>
      <c r="L26" s="47"/>
      <c r="M26" s="46"/>
      <c r="N26" s="50"/>
      <c r="O26" s="50"/>
      <c r="P26" s="50"/>
      <c r="Q26" s="50"/>
      <c r="R26" s="50"/>
      <c r="S26" s="50"/>
      <c r="T26" s="50"/>
    </row>
    <row r="27" spans="1:20">
      <c r="A27">
        <v>25</v>
      </c>
      <c r="B27">
        <f t="shared" si="0"/>
        <v>88</v>
      </c>
      <c r="C27" s="58">
        <v>1</v>
      </c>
      <c r="D27" s="58">
        <v>1.5</v>
      </c>
      <c r="E27" s="58">
        <v>0.5</v>
      </c>
      <c r="F27" s="58">
        <v>0.4</v>
      </c>
      <c r="G27" s="58">
        <v>0.5</v>
      </c>
      <c r="H27" s="58">
        <v>0.5</v>
      </c>
      <c r="I27" s="58">
        <v>1</v>
      </c>
      <c r="K27" s="51"/>
      <c r="L27" s="47"/>
      <c r="M27" s="46"/>
      <c r="N27" s="50"/>
      <c r="O27" s="50"/>
      <c r="P27" s="50"/>
      <c r="Q27" s="50"/>
      <c r="R27" s="50"/>
      <c r="S27" s="50"/>
      <c r="T27" s="50"/>
    </row>
    <row r="28" spans="1:20">
      <c r="A28">
        <v>26</v>
      </c>
      <c r="B28">
        <f t="shared" si="0"/>
        <v>89</v>
      </c>
      <c r="C28" s="58">
        <v>1</v>
      </c>
      <c r="D28" s="58">
        <v>1.5</v>
      </c>
      <c r="E28" s="58">
        <v>0.5</v>
      </c>
      <c r="F28" s="58">
        <v>0.4</v>
      </c>
      <c r="G28" s="58">
        <v>0.5</v>
      </c>
      <c r="H28" s="58">
        <v>0.5</v>
      </c>
      <c r="I28" s="58">
        <v>1</v>
      </c>
      <c r="K28" s="51"/>
      <c r="L28" s="47"/>
      <c r="M28" s="46"/>
      <c r="N28" s="50"/>
      <c r="O28" s="50"/>
      <c r="P28" s="50"/>
      <c r="Q28" s="50"/>
      <c r="R28" s="50"/>
      <c r="S28" s="50"/>
      <c r="T28" s="50"/>
    </row>
    <row r="29" spans="1:20">
      <c r="A29">
        <v>27</v>
      </c>
      <c r="B29">
        <f t="shared" si="0"/>
        <v>90</v>
      </c>
      <c r="C29" s="58">
        <v>1</v>
      </c>
      <c r="D29" s="58">
        <v>1.5</v>
      </c>
      <c r="E29" s="58">
        <v>0.5</v>
      </c>
      <c r="F29" s="58">
        <v>0.4</v>
      </c>
      <c r="G29" s="58">
        <v>0.5</v>
      </c>
      <c r="H29" s="58">
        <v>0.5</v>
      </c>
      <c r="I29" s="58">
        <v>1</v>
      </c>
      <c r="K29" s="51"/>
      <c r="L29" s="47"/>
      <c r="M29" s="46"/>
      <c r="N29" s="50"/>
      <c r="O29" s="50"/>
      <c r="P29" s="50"/>
      <c r="Q29" s="50"/>
      <c r="R29" s="50"/>
      <c r="S29" s="50"/>
      <c r="T29" s="50"/>
    </row>
    <row r="30" spans="1:20">
      <c r="A30">
        <v>28</v>
      </c>
      <c r="B30">
        <f t="shared" si="0"/>
        <v>91</v>
      </c>
      <c r="C30" s="58">
        <v>1</v>
      </c>
      <c r="D30" s="58">
        <v>1.5</v>
      </c>
      <c r="E30" s="58">
        <v>0.5</v>
      </c>
      <c r="F30" s="58">
        <v>0.4</v>
      </c>
      <c r="G30" s="58">
        <v>0.5</v>
      </c>
      <c r="H30" s="58">
        <v>0.5</v>
      </c>
      <c r="I30" s="58">
        <v>1</v>
      </c>
      <c r="K30" s="51"/>
      <c r="L30" s="47"/>
      <c r="M30" s="46"/>
      <c r="N30" s="50"/>
      <c r="O30" s="50"/>
      <c r="P30" s="51"/>
      <c r="Q30" s="51"/>
      <c r="R30" s="51"/>
      <c r="S30" s="50"/>
      <c r="T30" s="50"/>
    </row>
    <row r="31" spans="1:20">
      <c r="A31">
        <v>29</v>
      </c>
      <c r="B31">
        <f t="shared" si="0"/>
        <v>92</v>
      </c>
      <c r="C31" s="58">
        <v>1</v>
      </c>
      <c r="D31" s="58">
        <v>1.5</v>
      </c>
      <c r="E31" s="58">
        <v>0.5</v>
      </c>
      <c r="F31" s="58">
        <v>0.4</v>
      </c>
      <c r="G31" s="58">
        <v>0.5</v>
      </c>
      <c r="H31" s="58">
        <v>0.5</v>
      </c>
      <c r="I31" s="58">
        <v>1</v>
      </c>
      <c r="K31" s="51"/>
      <c r="L31" s="47"/>
      <c r="M31" s="46"/>
      <c r="N31" s="50"/>
      <c r="O31" s="50"/>
      <c r="P31" s="50"/>
      <c r="Q31" s="50"/>
      <c r="R31" s="50"/>
      <c r="S31" s="50"/>
      <c r="T31" s="50"/>
    </row>
    <row r="32" spans="1:20">
      <c r="A32">
        <v>30</v>
      </c>
      <c r="B32">
        <f t="shared" si="0"/>
        <v>93</v>
      </c>
      <c r="C32" s="58">
        <v>1</v>
      </c>
      <c r="D32" s="58">
        <v>1.5</v>
      </c>
      <c r="E32" s="58">
        <v>0.5</v>
      </c>
      <c r="F32" s="58">
        <v>0.4</v>
      </c>
      <c r="G32" s="58">
        <v>0.6</v>
      </c>
      <c r="H32" s="58">
        <v>0.5</v>
      </c>
      <c r="I32" s="58">
        <v>1</v>
      </c>
      <c r="K32" s="51"/>
      <c r="L32" s="47"/>
      <c r="M32" s="46"/>
      <c r="N32" s="50"/>
      <c r="O32" s="50"/>
      <c r="P32" s="50"/>
      <c r="Q32" s="50"/>
      <c r="R32" s="50"/>
      <c r="S32" s="50"/>
      <c r="T32" s="50"/>
    </row>
    <row r="33" spans="1:20">
      <c r="A33">
        <v>31</v>
      </c>
      <c r="B33">
        <f t="shared" si="0"/>
        <v>94</v>
      </c>
      <c r="C33" s="58">
        <v>1</v>
      </c>
      <c r="D33" s="58">
        <v>1.5</v>
      </c>
      <c r="E33" s="58">
        <v>0.5</v>
      </c>
      <c r="F33" s="58">
        <v>0.4</v>
      </c>
      <c r="G33" s="58">
        <v>0.6</v>
      </c>
      <c r="H33" s="58">
        <v>0.5</v>
      </c>
      <c r="I33" s="58">
        <v>1</v>
      </c>
      <c r="K33" s="51"/>
      <c r="L33" s="47"/>
      <c r="M33" s="46"/>
      <c r="N33" s="50"/>
      <c r="O33" s="50"/>
      <c r="P33" s="50"/>
      <c r="Q33" s="50"/>
      <c r="R33" s="50"/>
      <c r="S33" s="50"/>
      <c r="T33" s="50"/>
    </row>
    <row r="34" spans="1:20">
      <c r="A34">
        <v>32</v>
      </c>
      <c r="B34">
        <f t="shared" si="0"/>
        <v>95</v>
      </c>
      <c r="C34" s="58">
        <v>1</v>
      </c>
      <c r="D34" s="58">
        <v>1.5</v>
      </c>
      <c r="E34" s="58">
        <v>0.5</v>
      </c>
      <c r="F34" s="58">
        <v>0.4</v>
      </c>
      <c r="G34" s="58">
        <v>0.6</v>
      </c>
      <c r="H34" s="58">
        <v>0.5</v>
      </c>
      <c r="I34" s="58">
        <v>1</v>
      </c>
      <c r="K34" s="51"/>
      <c r="L34" s="47"/>
      <c r="M34" s="46"/>
      <c r="N34" s="50"/>
      <c r="O34" s="50"/>
      <c r="P34" s="50"/>
      <c r="Q34" s="50"/>
      <c r="R34" s="50"/>
      <c r="S34" s="50"/>
      <c r="T34" s="50"/>
    </row>
    <row r="35" spans="1:20">
      <c r="A35">
        <v>33</v>
      </c>
      <c r="B35">
        <f t="shared" si="0"/>
        <v>96</v>
      </c>
      <c r="C35" s="58">
        <v>1</v>
      </c>
      <c r="D35" s="58">
        <v>1.5</v>
      </c>
      <c r="E35" s="58">
        <v>0.5</v>
      </c>
      <c r="F35" s="58">
        <v>0.4</v>
      </c>
      <c r="G35" s="58">
        <v>0.6</v>
      </c>
      <c r="H35" s="58">
        <v>0.5</v>
      </c>
      <c r="I35" s="58">
        <v>1</v>
      </c>
      <c r="K35" s="51"/>
      <c r="L35" s="47"/>
      <c r="M35" s="46"/>
      <c r="N35" s="50"/>
      <c r="O35" s="50"/>
      <c r="P35" s="50"/>
      <c r="Q35" s="50"/>
      <c r="R35" s="50"/>
      <c r="S35" s="50"/>
      <c r="T35" s="50"/>
    </row>
    <row r="36" spans="1:20">
      <c r="A36">
        <v>34</v>
      </c>
      <c r="B36">
        <f t="shared" si="0"/>
        <v>97</v>
      </c>
      <c r="C36" s="58">
        <v>1</v>
      </c>
      <c r="D36" s="58">
        <v>1.5</v>
      </c>
      <c r="E36" s="58">
        <v>0.5</v>
      </c>
      <c r="F36" s="58">
        <v>0.4</v>
      </c>
      <c r="G36" s="58">
        <v>0.6</v>
      </c>
      <c r="H36" s="58">
        <v>0.5</v>
      </c>
      <c r="I36" s="58">
        <v>1</v>
      </c>
      <c r="K36" s="51"/>
      <c r="L36" s="47"/>
      <c r="M36" s="46"/>
      <c r="N36" s="50"/>
      <c r="O36" s="50"/>
      <c r="P36" s="50"/>
      <c r="Q36" s="50"/>
      <c r="R36" s="50"/>
      <c r="S36" s="50"/>
      <c r="T36" s="50"/>
    </row>
    <row r="37" spans="1:20">
      <c r="A37">
        <v>35</v>
      </c>
      <c r="B37">
        <f t="shared" si="0"/>
        <v>98</v>
      </c>
      <c r="C37" s="58">
        <v>1</v>
      </c>
      <c r="D37" s="58">
        <v>1.5</v>
      </c>
      <c r="E37" s="58">
        <v>0.5</v>
      </c>
      <c r="F37" s="58">
        <v>0.4</v>
      </c>
      <c r="G37" s="58">
        <v>0.6</v>
      </c>
      <c r="H37" s="58">
        <v>0.5</v>
      </c>
      <c r="I37" s="58">
        <v>1</v>
      </c>
      <c r="K37" s="51"/>
      <c r="L37" s="47"/>
      <c r="M37" s="46"/>
      <c r="N37" s="50"/>
      <c r="O37" s="50"/>
      <c r="P37" s="50"/>
      <c r="Q37" s="50"/>
      <c r="R37" s="50"/>
      <c r="S37" s="50"/>
      <c r="T37" s="50"/>
    </row>
    <row r="38" spans="1:20">
      <c r="K38" s="51"/>
      <c r="L38" s="47"/>
      <c r="M38" s="46"/>
      <c r="N38" s="50"/>
      <c r="O38" s="50"/>
      <c r="P38" s="50"/>
      <c r="Q38" s="50"/>
      <c r="R38" s="50"/>
      <c r="S38" s="50"/>
      <c r="T38" s="50"/>
    </row>
    <row r="39" spans="1:20">
      <c r="K39" s="51"/>
      <c r="L39" s="47"/>
      <c r="M39" s="46"/>
      <c r="N39" s="50"/>
      <c r="O39" s="50"/>
      <c r="P39" s="50"/>
      <c r="Q39" s="50"/>
      <c r="R39" s="50"/>
      <c r="S39" s="50"/>
      <c r="T39" s="50"/>
    </row>
    <row r="40" spans="1:20">
      <c r="K40" s="51"/>
      <c r="L40" s="47"/>
      <c r="M40" s="46"/>
      <c r="N40" s="50"/>
      <c r="O40" s="50"/>
      <c r="P40" s="50"/>
      <c r="Q40" s="50"/>
      <c r="R40" s="50"/>
      <c r="S40" s="50"/>
      <c r="T40" s="50"/>
    </row>
    <row r="41" spans="1:20">
      <c r="K41" s="51"/>
      <c r="L41" s="52"/>
      <c r="M41" s="46"/>
      <c r="N41" s="50"/>
      <c r="O41" s="50"/>
      <c r="P41" s="50"/>
      <c r="Q41" s="50"/>
      <c r="R41" s="50"/>
      <c r="S41" s="50"/>
      <c r="T41" s="50"/>
    </row>
    <row r="42" spans="1:20">
      <c r="K42" s="51"/>
      <c r="L42" s="47"/>
      <c r="M42" s="46"/>
      <c r="N42" s="51"/>
      <c r="O42" s="51"/>
      <c r="P42" s="51"/>
      <c r="Q42" s="51"/>
      <c r="R42" s="51"/>
      <c r="S42" s="51"/>
      <c r="T42" s="51"/>
    </row>
  </sheetData>
  <phoneticPr fontId="2"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E37"/>
  <sheetViews>
    <sheetView workbookViewId="0">
      <selection activeCell="E1" sqref="E1"/>
    </sheetView>
  </sheetViews>
  <sheetFormatPr defaultRowHeight="12.75"/>
  <cols>
    <col min="1" max="1" width="5.7109375" customWidth="1"/>
    <col min="3" max="3" width="12.85546875" style="22" customWidth="1"/>
    <col min="4" max="4" width="12.5703125" customWidth="1"/>
    <col min="5" max="5" width="12.28515625" customWidth="1"/>
  </cols>
  <sheetData>
    <row r="1" spans="1:5">
      <c r="D1" s="27">
        <f>'Q&amp;A'!A33</f>
        <v>8018</v>
      </c>
      <c r="E1" s="131" t="s">
        <v>272</v>
      </c>
    </row>
    <row r="2" spans="1:5" s="1" customFormat="1" ht="38.25">
      <c r="A2" s="124" t="s">
        <v>242</v>
      </c>
      <c r="B2" s="1" t="s">
        <v>122</v>
      </c>
      <c r="C2" s="25" t="s">
        <v>239</v>
      </c>
      <c r="D2" s="124" t="s">
        <v>240</v>
      </c>
      <c r="E2" s="124" t="s">
        <v>241</v>
      </c>
    </row>
    <row r="3" spans="1:5">
      <c r="A3">
        <f>'Q&amp;A'!A4</f>
        <v>64</v>
      </c>
      <c r="B3">
        <v>1</v>
      </c>
      <c r="C3" s="27">
        <f>D1</f>
        <v>8018</v>
      </c>
      <c r="D3" s="125">
        <f ca="1">C3*(1+'All Expenses'!R3)</f>
        <v>8397.7825538639208</v>
      </c>
      <c r="E3" s="125">
        <f ca="1">D3*Expectation!C3</f>
        <v>8397.7825538639208</v>
      </c>
    </row>
    <row r="4" spans="1:5">
      <c r="A4">
        <f>A3+1</f>
        <v>65</v>
      </c>
      <c r="B4">
        <v>2</v>
      </c>
      <c r="C4" s="22">
        <f ca="1">D3</f>
        <v>8397.7825538639208</v>
      </c>
      <c r="D4" s="125">
        <f ca="1">C4*(1+'All Expenses'!R4)</f>
        <v>8844.5733841595138</v>
      </c>
      <c r="E4" s="125">
        <f ca="1">D4*Expectation!C4</f>
        <v>8844.5733841595138</v>
      </c>
    </row>
    <row r="5" spans="1:5">
      <c r="A5">
        <f t="shared" ref="A5:A37" si="0">A4+1</f>
        <v>66</v>
      </c>
      <c r="B5">
        <v>3</v>
      </c>
      <c r="C5" s="22">
        <f t="shared" ref="C5:C37" ca="1" si="1">D4</f>
        <v>8844.5733841595138</v>
      </c>
      <c r="D5" s="125">
        <f ca="1">C5*(1+'All Expenses'!R5)</f>
        <v>9366.7624220062371</v>
      </c>
      <c r="E5" s="125">
        <f ca="1">D5*Expectation!C5</f>
        <v>9366.7624220062371</v>
      </c>
    </row>
    <row r="6" spans="1:5">
      <c r="A6">
        <f t="shared" si="0"/>
        <v>67</v>
      </c>
      <c r="B6">
        <v>4</v>
      </c>
      <c r="C6" s="22">
        <f t="shared" ca="1" si="1"/>
        <v>9366.7624220062371</v>
      </c>
      <c r="D6" s="125">
        <f ca="1">C6*(1+'All Expenses'!R6)</f>
        <v>9974.4573377147826</v>
      </c>
      <c r="E6" s="125">
        <f ca="1">D6*Expectation!C6</f>
        <v>9974.4573377147826</v>
      </c>
    </row>
    <row r="7" spans="1:5">
      <c r="A7">
        <f t="shared" si="0"/>
        <v>68</v>
      </c>
      <c r="B7">
        <v>5</v>
      </c>
      <c r="C7" s="22">
        <f t="shared" ca="1" si="1"/>
        <v>9974.4573377147826</v>
      </c>
      <c r="D7" s="125">
        <f ca="1">C7*(1+'All Expenses'!R7)</f>
        <v>10769.1514187925</v>
      </c>
      <c r="E7" s="125">
        <f ca="1">D7*Expectation!C7</f>
        <v>10769.1514187925</v>
      </c>
    </row>
    <row r="8" spans="1:5">
      <c r="A8">
        <f t="shared" si="0"/>
        <v>69</v>
      </c>
      <c r="B8">
        <v>6</v>
      </c>
      <c r="C8" s="22">
        <f t="shared" ca="1" si="1"/>
        <v>10769.1514187925</v>
      </c>
      <c r="D8" s="125">
        <f ca="1">C8*(1+'All Expenses'!R8)</f>
        <v>11786.491942142768</v>
      </c>
      <c r="E8" s="125">
        <f ca="1">D8*Expectation!C8</f>
        <v>11786.491942142768</v>
      </c>
    </row>
    <row r="9" spans="1:5">
      <c r="A9">
        <f t="shared" si="0"/>
        <v>70</v>
      </c>
      <c r="B9">
        <v>7</v>
      </c>
      <c r="C9" s="22">
        <f t="shared" ca="1" si="1"/>
        <v>11786.491942142768</v>
      </c>
      <c r="D9" s="125">
        <f ca="1">C9*(1+'All Expenses'!R9)</f>
        <v>13074.321141592982</v>
      </c>
      <c r="E9" s="125">
        <f ca="1">D9*Expectation!C9</f>
        <v>13074.321141592982</v>
      </c>
    </row>
    <row r="10" spans="1:5">
      <c r="A10">
        <f t="shared" si="0"/>
        <v>71</v>
      </c>
      <c r="B10">
        <v>8</v>
      </c>
      <c r="C10" s="22">
        <f t="shared" ca="1" si="1"/>
        <v>13074.321141592982</v>
      </c>
      <c r="D10" s="125">
        <f ca="1">C10*(1+'All Expenses'!R10)</f>
        <v>14300.381455675575</v>
      </c>
      <c r="E10" s="125">
        <f ca="1">D10*Expectation!C10</f>
        <v>14300.381455675575</v>
      </c>
    </row>
    <row r="11" spans="1:5">
      <c r="A11">
        <f t="shared" si="0"/>
        <v>72</v>
      </c>
      <c r="B11">
        <v>9</v>
      </c>
      <c r="C11" s="22">
        <f t="shared" ca="1" si="1"/>
        <v>14300.381455675575</v>
      </c>
      <c r="D11" s="125">
        <f ca="1">C11*(1+'All Expenses'!R11)</f>
        <v>15419.94798983922</v>
      </c>
      <c r="E11" s="125">
        <f ca="1">D11*Expectation!C11</f>
        <v>15419.94798983922</v>
      </c>
    </row>
    <row r="12" spans="1:5">
      <c r="A12">
        <f t="shared" si="0"/>
        <v>73</v>
      </c>
      <c r="B12">
        <v>10</v>
      </c>
      <c r="C12" s="22">
        <f t="shared" ca="1" si="1"/>
        <v>15419.94798983922</v>
      </c>
      <c r="D12" s="125">
        <f ca="1">C12*(1+'All Expenses'!R12)</f>
        <v>16388.356853422869</v>
      </c>
      <c r="E12" s="125">
        <f ca="1">D12*Expectation!C12</f>
        <v>16388.356853422869</v>
      </c>
    </row>
    <row r="13" spans="1:5">
      <c r="A13">
        <f t="shared" si="0"/>
        <v>74</v>
      </c>
      <c r="B13">
        <v>11</v>
      </c>
      <c r="C13" s="22">
        <f t="shared" ca="1" si="1"/>
        <v>16388.356853422869</v>
      </c>
      <c r="D13" s="125">
        <f ca="1">C13*(1+'All Expenses'!R13)</f>
        <v>17447.244450675989</v>
      </c>
      <c r="E13" s="125">
        <f ca="1">D13*Expectation!C13</f>
        <v>17447.244450675989</v>
      </c>
    </row>
    <row r="14" spans="1:5">
      <c r="A14">
        <f t="shared" si="0"/>
        <v>75</v>
      </c>
      <c r="B14">
        <v>12</v>
      </c>
      <c r="C14" s="22">
        <f t="shared" ca="1" si="1"/>
        <v>17447.244450675989</v>
      </c>
      <c r="D14" s="125">
        <f ca="1">C14*(1+'All Expenses'!R14)</f>
        <v>18606.125903212655</v>
      </c>
      <c r="E14" s="125">
        <f ca="1">D14*Expectation!C14</f>
        <v>18606.125903212655</v>
      </c>
    </row>
    <row r="15" spans="1:5">
      <c r="A15">
        <f t="shared" si="0"/>
        <v>76</v>
      </c>
      <c r="B15">
        <v>13</v>
      </c>
      <c r="C15" s="22">
        <f t="shared" ca="1" si="1"/>
        <v>18606.125903212655</v>
      </c>
      <c r="D15" s="125">
        <f ca="1">C15*(1+'All Expenses'!R15)</f>
        <v>19875.656824757734</v>
      </c>
      <c r="E15" s="125">
        <f ca="1">D15*Expectation!C15</f>
        <v>19875.656824757734</v>
      </c>
    </row>
    <row r="16" spans="1:5">
      <c r="A16">
        <f t="shared" si="0"/>
        <v>77</v>
      </c>
      <c r="B16">
        <v>14</v>
      </c>
      <c r="C16" s="22">
        <f t="shared" ca="1" si="1"/>
        <v>19875.656824757734</v>
      </c>
      <c r="D16" s="125">
        <f ca="1">C16*(1+'All Expenses'!R16)</f>
        <v>21105.275163609047</v>
      </c>
      <c r="E16" s="125">
        <f ca="1">D16*Expectation!C16</f>
        <v>21105.275163609047</v>
      </c>
    </row>
    <row r="17" spans="1:5">
      <c r="A17">
        <f t="shared" si="0"/>
        <v>78</v>
      </c>
      <c r="B17">
        <v>15</v>
      </c>
      <c r="C17" s="22">
        <f t="shared" ca="1" si="1"/>
        <v>21105.275163609047</v>
      </c>
      <c r="D17" s="125">
        <f ca="1">C17*(1+'All Expenses'!R17)</f>
        <v>22276.601288134789</v>
      </c>
      <c r="E17" s="125">
        <f ca="1">D17*Expectation!C17</f>
        <v>22276.601288134789</v>
      </c>
    </row>
    <row r="18" spans="1:5">
      <c r="A18">
        <f t="shared" si="0"/>
        <v>79</v>
      </c>
      <c r="B18">
        <v>16</v>
      </c>
      <c r="C18" s="22">
        <f t="shared" ca="1" si="1"/>
        <v>22276.601288134789</v>
      </c>
      <c r="D18" s="125">
        <f ca="1">C18*(1+'All Expenses'!R18)</f>
        <v>23371.114812962674</v>
      </c>
      <c r="E18" s="125">
        <f ca="1">D18*Expectation!C18</f>
        <v>23371.114812962674</v>
      </c>
    </row>
    <row r="19" spans="1:5">
      <c r="A19">
        <f t="shared" si="0"/>
        <v>80</v>
      </c>
      <c r="B19">
        <v>17</v>
      </c>
      <c r="C19" s="22">
        <f t="shared" ca="1" si="1"/>
        <v>23371.114812962674</v>
      </c>
      <c r="D19" s="125">
        <f ca="1">C19*(1+'All Expenses'!R19)</f>
        <v>24784.351916779786</v>
      </c>
      <c r="E19" s="125">
        <f ca="1">D19*Expectation!C19</f>
        <v>24784.351916779786</v>
      </c>
    </row>
    <row r="20" spans="1:5">
      <c r="A20">
        <f t="shared" si="0"/>
        <v>81</v>
      </c>
      <c r="B20">
        <v>18</v>
      </c>
      <c r="C20" s="22">
        <f t="shared" ca="1" si="1"/>
        <v>24784.351916779786</v>
      </c>
      <c r="D20" s="125">
        <f ca="1">C20*(1+'All Expenses'!R20)</f>
        <v>26564.014771779039</v>
      </c>
      <c r="E20" s="125">
        <f ca="1">D20*Expectation!C20</f>
        <v>26564.014771779039</v>
      </c>
    </row>
    <row r="21" spans="1:5">
      <c r="A21">
        <f t="shared" si="0"/>
        <v>82</v>
      </c>
      <c r="B21">
        <v>19</v>
      </c>
      <c r="C21" s="22">
        <f t="shared" ca="1" si="1"/>
        <v>26564.014771779039</v>
      </c>
      <c r="D21" s="125">
        <f ca="1">C21*(1+'All Expenses'!R21)</f>
        <v>28772.611267570421</v>
      </c>
      <c r="E21" s="125">
        <f ca="1">D21*Expectation!C21</f>
        <v>28772.611267570421</v>
      </c>
    </row>
    <row r="22" spans="1:5">
      <c r="A22">
        <f t="shared" si="0"/>
        <v>83</v>
      </c>
      <c r="B22">
        <v>20</v>
      </c>
      <c r="C22" s="22">
        <f t="shared" ca="1" si="1"/>
        <v>28772.611267570421</v>
      </c>
      <c r="D22" s="125">
        <f ca="1">C22*(1+'All Expenses'!R22)</f>
        <v>31063.352033737705</v>
      </c>
      <c r="E22" s="125">
        <f ca="1">D22*Expectation!C22</f>
        <v>31063.352033737705</v>
      </c>
    </row>
    <row r="23" spans="1:5">
      <c r="A23">
        <f t="shared" si="0"/>
        <v>84</v>
      </c>
      <c r="B23">
        <v>21</v>
      </c>
      <c r="C23" s="22">
        <f t="shared" ca="1" si="1"/>
        <v>31063.352033737705</v>
      </c>
      <c r="D23" s="125">
        <f ca="1">C23*(1+'All Expenses'!R23)</f>
        <v>33426.90741431449</v>
      </c>
      <c r="E23" s="125">
        <f ca="1">D23*Expectation!C23</f>
        <v>33426.90741431449</v>
      </c>
    </row>
    <row r="24" spans="1:5">
      <c r="A24">
        <f t="shared" si="0"/>
        <v>85</v>
      </c>
      <c r="B24">
        <v>22</v>
      </c>
      <c r="C24" s="22">
        <f t="shared" ca="1" si="1"/>
        <v>33426.90741431449</v>
      </c>
      <c r="D24" s="125">
        <f ca="1">C24*(1+'All Expenses'!R24)</f>
        <v>35852.4015905419</v>
      </c>
      <c r="E24" s="125">
        <f ca="1">D24*Expectation!C24</f>
        <v>35852.4015905419</v>
      </c>
    </row>
    <row r="25" spans="1:5">
      <c r="A25">
        <f t="shared" si="0"/>
        <v>86</v>
      </c>
      <c r="B25">
        <v>23</v>
      </c>
      <c r="C25" s="22">
        <f t="shared" ca="1" si="1"/>
        <v>35852.4015905419</v>
      </c>
      <c r="D25" s="125">
        <f ca="1">C25*(1+'All Expenses'!R25)</f>
        <v>38053.469268497225</v>
      </c>
      <c r="E25" s="125">
        <f ca="1">D25*Expectation!C25</f>
        <v>38053.469268497225</v>
      </c>
    </row>
    <row r="26" spans="1:5">
      <c r="A26">
        <f t="shared" si="0"/>
        <v>87</v>
      </c>
      <c r="B26">
        <v>24</v>
      </c>
      <c r="C26" s="22">
        <f t="shared" ca="1" si="1"/>
        <v>38053.469268497225</v>
      </c>
      <c r="D26" s="125">
        <f ca="1">C26*(1+'All Expenses'!R26)</f>
        <v>39964.659877736791</v>
      </c>
      <c r="E26" s="125">
        <f ca="1">D26*Expectation!C26</f>
        <v>39964.659877736791</v>
      </c>
    </row>
    <row r="27" spans="1:5">
      <c r="A27">
        <f t="shared" si="0"/>
        <v>88</v>
      </c>
      <c r="B27">
        <v>25</v>
      </c>
      <c r="C27" s="22">
        <f t="shared" ca="1" si="1"/>
        <v>39964.659877736791</v>
      </c>
      <c r="D27" s="125">
        <f ca="1">C27*(1+'All Expenses'!R27)</f>
        <v>41525.486291196044</v>
      </c>
      <c r="E27" s="125">
        <f ca="1">D27*Expectation!C27</f>
        <v>41525.486291196044</v>
      </c>
    </row>
    <row r="28" spans="1:5">
      <c r="A28">
        <f t="shared" si="0"/>
        <v>89</v>
      </c>
      <c r="B28">
        <v>26</v>
      </c>
      <c r="C28" s="22">
        <f t="shared" ca="1" si="1"/>
        <v>41525.486291196044</v>
      </c>
      <c r="D28" s="125">
        <f ca="1">C28*(1+'All Expenses'!R28)</f>
        <v>43228.123592858545</v>
      </c>
      <c r="E28" s="125">
        <f ca="1">D28*Expectation!C28</f>
        <v>43228.123592858545</v>
      </c>
    </row>
    <row r="29" spans="1:5">
      <c r="A29">
        <f t="shared" si="0"/>
        <v>90</v>
      </c>
      <c r="B29">
        <v>27</v>
      </c>
      <c r="C29" s="22">
        <f t="shared" ca="1" si="1"/>
        <v>43228.123592858545</v>
      </c>
      <c r="D29" s="125">
        <f ca="1">C29*(1+'All Expenses'!R29)</f>
        <v>45084.740499563937</v>
      </c>
      <c r="E29" s="125">
        <f ca="1">D29*Expectation!C29</f>
        <v>45084.740499563937</v>
      </c>
    </row>
    <row r="30" spans="1:5">
      <c r="A30">
        <f t="shared" si="0"/>
        <v>91</v>
      </c>
      <c r="B30">
        <v>28</v>
      </c>
      <c r="C30" s="22">
        <f t="shared" ca="1" si="1"/>
        <v>45084.740499563937</v>
      </c>
      <c r="D30" s="125">
        <f ca="1">C30*(1+'All Expenses'!R30)</f>
        <v>47108.880401333685</v>
      </c>
      <c r="E30" s="125">
        <f ca="1">D30*Expectation!C30</f>
        <v>47108.880401333685</v>
      </c>
    </row>
    <row r="31" spans="1:5">
      <c r="A31">
        <f t="shared" si="0"/>
        <v>92</v>
      </c>
      <c r="B31">
        <v>29</v>
      </c>
      <c r="C31" s="22">
        <f t="shared" ca="1" si="1"/>
        <v>47108.880401333685</v>
      </c>
      <c r="D31" s="125">
        <f ca="1">C31*(1+'All Expenses'!R31)</f>
        <v>48972.7903277933</v>
      </c>
      <c r="E31" s="125">
        <f ca="1">D31*Expectation!C31</f>
        <v>48972.7903277933</v>
      </c>
    </row>
    <row r="32" spans="1:5">
      <c r="A32">
        <f t="shared" si="0"/>
        <v>93</v>
      </c>
      <c r="B32">
        <v>30</v>
      </c>
      <c r="C32" s="22">
        <f t="shared" ca="1" si="1"/>
        <v>48972.7903277933</v>
      </c>
      <c r="D32" s="125">
        <f ca="1">C32*(1+'All Expenses'!R32)</f>
        <v>50649.405983933859</v>
      </c>
      <c r="E32" s="125">
        <f ca="1">D32*Expectation!C32</f>
        <v>50649.405983933859</v>
      </c>
    </row>
    <row r="33" spans="1:5">
      <c r="A33">
        <f t="shared" si="0"/>
        <v>94</v>
      </c>
      <c r="B33">
        <v>31</v>
      </c>
      <c r="C33" s="22">
        <f t="shared" ca="1" si="1"/>
        <v>50649.405983933859</v>
      </c>
      <c r="D33" s="125">
        <f ca="1">C33*(1+'All Expenses'!R33)</f>
        <v>52113.443014554949</v>
      </c>
      <c r="E33" s="125">
        <f ca="1">D33*Expectation!C33</f>
        <v>52113.443014554949</v>
      </c>
    </row>
    <row r="34" spans="1:5">
      <c r="A34">
        <f t="shared" si="0"/>
        <v>95</v>
      </c>
      <c r="B34">
        <v>32</v>
      </c>
      <c r="C34" s="22">
        <f t="shared" ca="1" si="1"/>
        <v>52113.443014554949</v>
      </c>
      <c r="D34" s="125">
        <f ca="1">C34*(1+'All Expenses'!R34)</f>
        <v>53595.795832124284</v>
      </c>
      <c r="E34" s="125">
        <f ca="1">D34*Expectation!C34</f>
        <v>53595.795832124284</v>
      </c>
    </row>
    <row r="35" spans="1:5">
      <c r="A35">
        <f t="shared" si="0"/>
        <v>96</v>
      </c>
      <c r="B35">
        <v>33</v>
      </c>
      <c r="C35" s="22">
        <f t="shared" ca="1" si="1"/>
        <v>53595.795832124284</v>
      </c>
      <c r="D35" s="125">
        <f ca="1">C35*(1+'All Expenses'!R35)</f>
        <v>55095.628361609262</v>
      </c>
      <c r="E35" s="125">
        <f ca="1">D35*Expectation!C35</f>
        <v>55095.628361609262</v>
      </c>
    </row>
    <row r="36" spans="1:5">
      <c r="A36">
        <f t="shared" si="0"/>
        <v>97</v>
      </c>
      <c r="B36">
        <v>34</v>
      </c>
      <c r="C36" s="22">
        <f t="shared" ca="1" si="1"/>
        <v>55095.628361609262</v>
      </c>
      <c r="D36" s="125">
        <f ca="1">C36*(1+'All Expenses'!R36)</f>
        <v>56612.056208291557</v>
      </c>
      <c r="E36" s="125">
        <f ca="1">D36*Expectation!C36</f>
        <v>56612.056208291557</v>
      </c>
    </row>
    <row r="37" spans="1:5">
      <c r="A37">
        <f t="shared" si="0"/>
        <v>98</v>
      </c>
      <c r="B37">
        <v>35</v>
      </c>
      <c r="C37" s="22">
        <f t="shared" ca="1" si="1"/>
        <v>56612.056208291557</v>
      </c>
      <c r="D37" s="125">
        <f ca="1">C37*(1+'All Expenses'!R37)</f>
        <v>57650.833101547636</v>
      </c>
      <c r="E37" s="125">
        <f ca="1">D37*Expectation!C37</f>
        <v>57650.833101547636</v>
      </c>
    </row>
  </sheetData>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dimension ref="A1:E38"/>
  <sheetViews>
    <sheetView topLeftCell="A4" workbookViewId="0">
      <selection activeCell="E38" sqref="E38"/>
    </sheetView>
  </sheetViews>
  <sheetFormatPr defaultRowHeight="12.75"/>
  <cols>
    <col min="3" max="3" width="12.85546875" customWidth="1"/>
    <col min="4" max="4" width="12.140625" customWidth="1"/>
    <col min="5" max="5" width="15.28515625" customWidth="1"/>
  </cols>
  <sheetData>
    <row r="1" spans="1:5">
      <c r="D1" s="27">
        <f>'Q&amp;A'!A34</f>
        <v>10000</v>
      </c>
      <c r="E1" t="s">
        <v>137</v>
      </c>
    </row>
    <row r="2" spans="1:5" ht="38.25">
      <c r="A2" s="124" t="s">
        <v>242</v>
      </c>
      <c r="B2" s="1" t="s">
        <v>122</v>
      </c>
      <c r="C2" s="25" t="s">
        <v>239</v>
      </c>
      <c r="D2" s="124" t="s">
        <v>240</v>
      </c>
      <c r="E2" s="124" t="s">
        <v>241</v>
      </c>
    </row>
    <row r="3" spans="1:5">
      <c r="A3">
        <f>'Q&amp;A'!A4</f>
        <v>64</v>
      </c>
      <c r="B3">
        <v>1</v>
      </c>
      <c r="C3" s="22">
        <f>D1</f>
        <v>10000</v>
      </c>
      <c r="D3" s="126">
        <f ca="1">C3*(1+'All Expenses'!R3)</f>
        <v>10473.662451813321</v>
      </c>
      <c r="E3" s="126">
        <f ca="1">D3*Expectation!D3</f>
        <v>10473.662451813321</v>
      </c>
    </row>
    <row r="4" spans="1:5">
      <c r="A4">
        <f>A3+1</f>
        <v>65</v>
      </c>
      <c r="B4">
        <v>2</v>
      </c>
      <c r="C4" s="22">
        <f ca="1">D3</f>
        <v>10473.662451813321</v>
      </c>
      <c r="D4" s="126">
        <f ca="1">C4*(1+'All Expenses'!R4)</f>
        <v>11030.897211473577</v>
      </c>
      <c r="E4" s="126">
        <f ca="1">D4*Expectation!D4</f>
        <v>11030.897211473577</v>
      </c>
    </row>
    <row r="5" spans="1:5">
      <c r="A5">
        <f t="shared" ref="A5:A37" si="0">A4+1</f>
        <v>66</v>
      </c>
      <c r="B5">
        <v>3</v>
      </c>
      <c r="C5" s="22">
        <f t="shared" ref="C5:C37" ca="1" si="1">D4</f>
        <v>11030.897211473577</v>
      </c>
      <c r="D5" s="126">
        <f ca="1">C5*(1+'All Expenses'!R5)</f>
        <v>11682.168149172159</v>
      </c>
      <c r="E5" s="126">
        <f ca="1">D5*Expectation!D5</f>
        <v>17523.252223758238</v>
      </c>
    </row>
    <row r="6" spans="1:5">
      <c r="A6">
        <f t="shared" si="0"/>
        <v>67</v>
      </c>
      <c r="B6">
        <v>4</v>
      </c>
      <c r="C6" s="22">
        <f t="shared" ca="1" si="1"/>
        <v>11682.168149172159</v>
      </c>
      <c r="D6" s="126">
        <f ca="1">C6*(1+'All Expenses'!R6)</f>
        <v>12440.081488793694</v>
      </c>
      <c r="E6" s="126">
        <f ca="1">D6*Expectation!D6</f>
        <v>18660.122233190541</v>
      </c>
    </row>
    <row r="7" spans="1:5">
      <c r="A7">
        <f t="shared" si="0"/>
        <v>68</v>
      </c>
      <c r="B7">
        <v>5</v>
      </c>
      <c r="C7" s="22">
        <f t="shared" ca="1" si="1"/>
        <v>12440.081488793694</v>
      </c>
      <c r="D7" s="126">
        <f ca="1">C7*(1+'All Expenses'!R7)</f>
        <v>13431.219030671615</v>
      </c>
      <c r="E7" s="126">
        <f ca="1">D7*Expectation!D7</f>
        <v>20146.828546007422</v>
      </c>
    </row>
    <row r="8" spans="1:5">
      <c r="A8">
        <f t="shared" si="0"/>
        <v>69</v>
      </c>
      <c r="B8">
        <v>6</v>
      </c>
      <c r="C8" s="22">
        <f t="shared" ca="1" si="1"/>
        <v>13431.219030671615</v>
      </c>
      <c r="D8" s="126">
        <f ca="1">C8*(1+'All Expenses'!R8)</f>
        <v>14700.039838042865</v>
      </c>
      <c r="E8" s="126">
        <f ca="1">D8*Expectation!D8</f>
        <v>22050.059757064297</v>
      </c>
    </row>
    <row r="9" spans="1:5">
      <c r="A9">
        <f t="shared" si="0"/>
        <v>70</v>
      </c>
      <c r="B9">
        <v>7</v>
      </c>
      <c r="C9" s="22">
        <f t="shared" ca="1" si="1"/>
        <v>14700.039838042865</v>
      </c>
      <c r="D9" s="126">
        <f ca="1">C9*(1+'All Expenses'!R9)</f>
        <v>16306.212448981023</v>
      </c>
      <c r="E9" s="126">
        <f ca="1">D9*Expectation!D9</f>
        <v>24459.318673471535</v>
      </c>
    </row>
    <row r="10" spans="1:5">
      <c r="A10">
        <f t="shared" si="0"/>
        <v>71</v>
      </c>
      <c r="B10">
        <v>8</v>
      </c>
      <c r="C10" s="22">
        <f t="shared" ca="1" si="1"/>
        <v>16306.212448981023</v>
      </c>
      <c r="D10" s="126">
        <f ca="1">C10*(1+'All Expenses'!R10)</f>
        <v>17835.347288196033</v>
      </c>
      <c r="E10" s="126">
        <f ca="1">D10*Expectation!D10</f>
        <v>26753.02093229405</v>
      </c>
    </row>
    <row r="11" spans="1:5">
      <c r="A11">
        <f t="shared" si="0"/>
        <v>72</v>
      </c>
      <c r="B11">
        <v>9</v>
      </c>
      <c r="C11" s="22">
        <f t="shared" ca="1" si="1"/>
        <v>17835.347288196033</v>
      </c>
      <c r="D11" s="126">
        <f ca="1">C11*(1+'All Expenses'!R11)</f>
        <v>19231.663743875313</v>
      </c>
      <c r="E11" s="126">
        <f ca="1">D11*Expectation!D11</f>
        <v>28847.495615812972</v>
      </c>
    </row>
    <row r="12" spans="1:5">
      <c r="A12">
        <f t="shared" si="0"/>
        <v>73</v>
      </c>
      <c r="B12">
        <v>10</v>
      </c>
      <c r="C12" s="22">
        <f t="shared" ca="1" si="1"/>
        <v>19231.663743875313</v>
      </c>
      <c r="D12" s="126">
        <f ca="1">C12*(1+'All Expenses'!R12)</f>
        <v>20439.457287880865</v>
      </c>
      <c r="E12" s="126">
        <f ca="1">D12*Expectation!D12</f>
        <v>34747.077389397469</v>
      </c>
    </row>
    <row r="13" spans="1:5">
      <c r="A13">
        <f t="shared" si="0"/>
        <v>74</v>
      </c>
      <c r="B13">
        <v>11</v>
      </c>
      <c r="C13" s="22">
        <f t="shared" ca="1" si="1"/>
        <v>20439.457287880865</v>
      </c>
      <c r="D13" s="126">
        <f ca="1">C13*(1+'All Expenses'!R13)</f>
        <v>21760.095348810177</v>
      </c>
      <c r="E13" s="126">
        <f ca="1">D13*Expectation!D13</f>
        <v>36992.162092977298</v>
      </c>
    </row>
    <row r="14" spans="1:5">
      <c r="A14">
        <f t="shared" si="0"/>
        <v>75</v>
      </c>
      <c r="B14">
        <v>12</v>
      </c>
      <c r="C14" s="22">
        <f t="shared" ca="1" si="1"/>
        <v>21760.095348810177</v>
      </c>
      <c r="D14" s="126">
        <f ca="1">C14*(1+'All Expenses'!R14)</f>
        <v>23205.445127479004</v>
      </c>
      <c r="E14" s="126">
        <f ca="1">D14*Expectation!D14</f>
        <v>39449.256716714306</v>
      </c>
    </row>
    <row r="15" spans="1:5">
      <c r="A15">
        <f t="shared" si="0"/>
        <v>76</v>
      </c>
      <c r="B15">
        <v>13</v>
      </c>
      <c r="C15" s="22">
        <f t="shared" ca="1" si="1"/>
        <v>23205.445127479004</v>
      </c>
      <c r="D15" s="126">
        <f ca="1">C15*(1+'All Expenses'!R15)</f>
        <v>24788.796239408512</v>
      </c>
      <c r="E15" s="126">
        <f ca="1">D15*Expectation!D15</f>
        <v>37183.194359112764</v>
      </c>
    </row>
    <row r="16" spans="1:5">
      <c r="A16">
        <f t="shared" si="0"/>
        <v>77</v>
      </c>
      <c r="B16">
        <v>14</v>
      </c>
      <c r="C16" s="22">
        <f t="shared" ca="1" si="1"/>
        <v>24788.796239408512</v>
      </c>
      <c r="D16" s="126">
        <f ca="1">C16*(1+'All Expenses'!R16)</f>
        <v>26322.368625104835</v>
      </c>
      <c r="E16" s="126">
        <f ca="1">D16*Expectation!D16</f>
        <v>39483.552937657252</v>
      </c>
    </row>
    <row r="17" spans="1:5">
      <c r="A17">
        <f t="shared" si="0"/>
        <v>78</v>
      </c>
      <c r="B17">
        <v>15</v>
      </c>
      <c r="C17" s="22">
        <f t="shared" ca="1" si="1"/>
        <v>26322.368625104835</v>
      </c>
      <c r="D17" s="126">
        <f ca="1">C17*(1+'All Expenses'!R17)</f>
        <v>27783.239321694684</v>
      </c>
      <c r="E17" s="126">
        <f ca="1">D17*Expectation!D17</f>
        <v>41674.858982542028</v>
      </c>
    </row>
    <row r="18" spans="1:5">
      <c r="A18">
        <f t="shared" si="0"/>
        <v>79</v>
      </c>
      <c r="B18">
        <v>16</v>
      </c>
      <c r="C18" s="22">
        <f t="shared" ca="1" si="1"/>
        <v>27783.239321694684</v>
      </c>
      <c r="D18" s="126">
        <f ca="1">C18*(1+'All Expenses'!R18)</f>
        <v>29148.309819110353</v>
      </c>
      <c r="E18" s="126">
        <f ca="1">D18*Expectation!D18</f>
        <v>43722.464728665531</v>
      </c>
    </row>
    <row r="19" spans="1:5">
      <c r="A19">
        <f t="shared" si="0"/>
        <v>80</v>
      </c>
      <c r="B19">
        <v>17</v>
      </c>
      <c r="C19" s="22">
        <f t="shared" ca="1" si="1"/>
        <v>29148.309819110353</v>
      </c>
      <c r="D19" s="126">
        <f ca="1">C19*(1+'All Expenses'!R19)</f>
        <v>30910.890392591409</v>
      </c>
      <c r="E19" s="126">
        <f ca="1">D19*Expectation!D19</f>
        <v>46366.335588887116</v>
      </c>
    </row>
    <row r="20" spans="1:5">
      <c r="A20">
        <f t="shared" si="0"/>
        <v>81</v>
      </c>
      <c r="B20">
        <v>18</v>
      </c>
      <c r="C20" s="22">
        <f t="shared" ca="1" si="1"/>
        <v>30910.890392591409</v>
      </c>
      <c r="D20" s="126">
        <f ca="1">C20*(1+'All Expenses'!R20)</f>
        <v>33130.474896207343</v>
      </c>
      <c r="E20" s="126">
        <f ca="1">D20*Expectation!D20</f>
        <v>49695.712344311018</v>
      </c>
    </row>
    <row r="21" spans="1:5">
      <c r="A21">
        <f t="shared" si="0"/>
        <v>82</v>
      </c>
      <c r="B21">
        <v>19</v>
      </c>
      <c r="C21" s="22">
        <f t="shared" ca="1" si="1"/>
        <v>33130.474896207343</v>
      </c>
      <c r="D21" s="126">
        <f ca="1">C21*(1+'All Expenses'!R21)</f>
        <v>35885.022783200831</v>
      </c>
      <c r="E21" s="126">
        <f ca="1">D21*Expectation!D21</f>
        <v>53827.534174801243</v>
      </c>
    </row>
    <row r="22" spans="1:5">
      <c r="A22">
        <f t="shared" si="0"/>
        <v>83</v>
      </c>
      <c r="B22">
        <v>20</v>
      </c>
      <c r="C22" s="22">
        <f t="shared" ca="1" si="1"/>
        <v>35885.022783200831</v>
      </c>
      <c r="D22" s="126">
        <f ca="1">C22*(1+'All Expenses'!R22)</f>
        <v>38742.020496056015</v>
      </c>
      <c r="E22" s="126">
        <f ca="1">D22*Expectation!D22</f>
        <v>58113.030744084026</v>
      </c>
    </row>
    <row r="23" spans="1:5">
      <c r="A23">
        <f t="shared" si="0"/>
        <v>84</v>
      </c>
      <c r="B23">
        <v>21</v>
      </c>
      <c r="C23" s="22">
        <f t="shared" ca="1" si="1"/>
        <v>38742.020496056015</v>
      </c>
      <c r="D23" s="126">
        <f ca="1">C23*(1+'All Expenses'!R23)</f>
        <v>41689.832145565604</v>
      </c>
      <c r="E23" s="126">
        <f ca="1">D23*Expectation!D23</f>
        <v>62534.74821834841</v>
      </c>
    </row>
    <row r="24" spans="1:5">
      <c r="A24">
        <f t="shared" si="0"/>
        <v>85</v>
      </c>
      <c r="B24">
        <v>22</v>
      </c>
      <c r="C24" s="22">
        <f t="shared" ca="1" si="1"/>
        <v>41689.832145565604</v>
      </c>
      <c r="D24" s="126">
        <f ca="1">C24*(1+'All Expenses'!R24)</f>
        <v>44714.893477852216</v>
      </c>
      <c r="E24" s="126">
        <f ca="1">D24*Expectation!D24</f>
        <v>67072.340216778321</v>
      </c>
    </row>
    <row r="25" spans="1:5">
      <c r="A25">
        <f t="shared" si="0"/>
        <v>86</v>
      </c>
      <c r="B25">
        <v>23</v>
      </c>
      <c r="C25" s="22">
        <f t="shared" ca="1" si="1"/>
        <v>44714.893477852216</v>
      </c>
      <c r="D25" s="126">
        <f ca="1">C25*(1+'All Expenses'!R25)</f>
        <v>47460.051469814454</v>
      </c>
      <c r="E25" s="126">
        <f ca="1">D25*Expectation!D25</f>
        <v>71190.077204721689</v>
      </c>
    </row>
    <row r="26" spans="1:5">
      <c r="A26">
        <f t="shared" si="0"/>
        <v>87</v>
      </c>
      <c r="B26">
        <v>24</v>
      </c>
      <c r="C26" s="22">
        <f t="shared" ca="1" si="1"/>
        <v>47460.051469814454</v>
      </c>
      <c r="D26" s="126">
        <f ca="1">C26*(1+'All Expenses'!R26)</f>
        <v>49843.676574877521</v>
      </c>
      <c r="E26" s="126">
        <f ca="1">D26*Expectation!D26</f>
        <v>74765.514862316282</v>
      </c>
    </row>
    <row r="27" spans="1:5">
      <c r="A27">
        <f t="shared" si="0"/>
        <v>88</v>
      </c>
      <c r="B27">
        <v>25</v>
      </c>
      <c r="C27" s="22">
        <f t="shared" ca="1" si="1"/>
        <v>49843.676574877521</v>
      </c>
      <c r="D27" s="126">
        <f ca="1">C27*(1+'All Expenses'!R27)</f>
        <v>51790.329622344791</v>
      </c>
      <c r="E27" s="126">
        <f ca="1">D27*Expectation!D27</f>
        <v>77685.494433517189</v>
      </c>
    </row>
    <row r="28" spans="1:5">
      <c r="A28">
        <f t="shared" si="0"/>
        <v>89</v>
      </c>
      <c r="B28">
        <v>26</v>
      </c>
      <c r="C28" s="22">
        <f t="shared" ca="1" si="1"/>
        <v>51790.329622344791</v>
      </c>
      <c r="D28" s="126">
        <f ca="1">C28*(1+'All Expenses'!R28)</f>
        <v>53913.848332325462</v>
      </c>
      <c r="E28" s="126">
        <f ca="1">D28*Expectation!D28</f>
        <v>80870.772498488193</v>
      </c>
    </row>
    <row r="29" spans="1:5">
      <c r="A29">
        <f t="shared" si="0"/>
        <v>90</v>
      </c>
      <c r="B29">
        <v>27</v>
      </c>
      <c r="C29" s="22">
        <f t="shared" ca="1" si="1"/>
        <v>53913.848332325462</v>
      </c>
      <c r="D29" s="126">
        <f ca="1">C29*(1+'All Expenses'!R29)</f>
        <v>56229.409453185268</v>
      </c>
      <c r="E29" s="126">
        <f ca="1">D29*Expectation!D29</f>
        <v>84344.114179777898</v>
      </c>
    </row>
    <row r="30" spans="1:5">
      <c r="A30">
        <f t="shared" si="0"/>
        <v>91</v>
      </c>
      <c r="B30">
        <v>28</v>
      </c>
      <c r="C30" s="22">
        <f t="shared" ca="1" si="1"/>
        <v>56229.409453185268</v>
      </c>
      <c r="D30" s="126">
        <f ca="1">C30*(1+'All Expenses'!R30)</f>
        <v>58753.904217178468</v>
      </c>
      <c r="E30" s="126">
        <f ca="1">D30*Expectation!D30</f>
        <v>88130.856325767701</v>
      </c>
    </row>
    <row r="31" spans="1:5">
      <c r="A31">
        <f t="shared" si="0"/>
        <v>92</v>
      </c>
      <c r="B31">
        <v>29</v>
      </c>
      <c r="C31" s="22">
        <f t="shared" ca="1" si="1"/>
        <v>58753.904217178468</v>
      </c>
      <c r="D31" s="126">
        <f ca="1">C31*(1+'All Expenses'!R31)</f>
        <v>61078.56114716053</v>
      </c>
      <c r="E31" s="126">
        <f ca="1">D31*Expectation!D31</f>
        <v>91617.841720740791</v>
      </c>
    </row>
    <row r="32" spans="1:5">
      <c r="A32">
        <f t="shared" si="0"/>
        <v>93</v>
      </c>
      <c r="B32">
        <v>30</v>
      </c>
      <c r="C32" s="22">
        <f t="shared" ca="1" si="1"/>
        <v>61078.56114716053</v>
      </c>
      <c r="D32" s="126">
        <f ca="1">C32*(1+'All Expenses'!R32)</f>
        <v>63169.625821818248</v>
      </c>
      <c r="E32" s="126">
        <f ca="1">D32*Expectation!D32</f>
        <v>94754.438732727373</v>
      </c>
    </row>
    <row r="33" spans="1:5">
      <c r="A33">
        <f t="shared" si="0"/>
        <v>94</v>
      </c>
      <c r="B33">
        <v>31</v>
      </c>
      <c r="C33" s="22">
        <f t="shared" ca="1" si="1"/>
        <v>63169.625821818248</v>
      </c>
      <c r="D33" s="126">
        <f ca="1">C33*(1+'All Expenses'!R33)</f>
        <v>64995.563749756751</v>
      </c>
      <c r="E33" s="126">
        <f ca="1">D33*Expectation!D33</f>
        <v>97493.345624635127</v>
      </c>
    </row>
    <row r="34" spans="1:5">
      <c r="A34">
        <f t="shared" si="0"/>
        <v>95</v>
      </c>
      <c r="B34">
        <v>32</v>
      </c>
      <c r="C34" s="22">
        <f t="shared" ca="1" si="1"/>
        <v>64995.563749756751</v>
      </c>
      <c r="D34" s="126">
        <f ca="1">C34*(1+'All Expenses'!R34)</f>
        <v>66844.345013874146</v>
      </c>
      <c r="E34" s="126">
        <f ca="1">D34*Expectation!D34</f>
        <v>100266.51752081122</v>
      </c>
    </row>
    <row r="35" spans="1:5">
      <c r="A35">
        <f t="shared" si="0"/>
        <v>96</v>
      </c>
      <c r="B35">
        <v>33</v>
      </c>
      <c r="C35" s="22">
        <f t="shared" ca="1" si="1"/>
        <v>66844.345013874146</v>
      </c>
      <c r="D35" s="126">
        <f ca="1">C35*(1+'All Expenses'!R35)</f>
        <v>68714.926866561815</v>
      </c>
      <c r="E35" s="126">
        <f ca="1">D35*Expectation!D35</f>
        <v>103072.39029984272</v>
      </c>
    </row>
    <row r="36" spans="1:5">
      <c r="A36">
        <f t="shared" si="0"/>
        <v>97</v>
      </c>
      <c r="B36">
        <v>34</v>
      </c>
      <c r="C36" s="22">
        <f t="shared" ca="1" si="1"/>
        <v>68714.926866561815</v>
      </c>
      <c r="D36" s="126">
        <f ca="1">C36*(1+'All Expenses'!R36)</f>
        <v>70606.206296197997</v>
      </c>
      <c r="E36" s="126">
        <f ca="1">D36*Expectation!D36</f>
        <v>105909.30944429699</v>
      </c>
    </row>
    <row r="37" spans="1:5">
      <c r="A37">
        <f t="shared" si="0"/>
        <v>98</v>
      </c>
      <c r="B37">
        <v>35</v>
      </c>
      <c r="C37" s="22">
        <f t="shared" ca="1" si="1"/>
        <v>70606.206296197997</v>
      </c>
      <c r="D37" s="126">
        <f ca="1">C37*(1+'All Expenses'!R37)</f>
        <v>71901.762411508636</v>
      </c>
      <c r="E37" s="126">
        <f ca="1">D37*Expectation!D37</f>
        <v>107852.64361726295</v>
      </c>
    </row>
    <row r="38" spans="1:5">
      <c r="E38" s="127">
        <f ca="1">SUM(E3:E37)</f>
        <v>1968760.2426040689</v>
      </c>
    </row>
  </sheetData>
  <phoneticPr fontId="2"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dimension ref="A1:L39"/>
  <sheetViews>
    <sheetView workbookViewId="0">
      <selection activeCell="A3" sqref="A1:XFD3"/>
    </sheetView>
  </sheetViews>
  <sheetFormatPr defaultRowHeight="12.75"/>
  <cols>
    <col min="2" max="2" width="9.7109375" bestFit="1" customWidth="1"/>
    <col min="3" max="3" width="13" customWidth="1"/>
    <col min="4" max="4" width="12" customWidth="1"/>
  </cols>
  <sheetData>
    <row r="1" spans="1:11">
      <c r="B1" s="101"/>
    </row>
    <row r="2" spans="1:11">
      <c r="B2" s="22"/>
    </row>
    <row r="3" spans="1:11">
      <c r="B3" s="22"/>
    </row>
    <row r="4" spans="1:11" ht="51">
      <c r="A4" s="1" t="s">
        <v>122</v>
      </c>
      <c r="B4" s="25" t="s">
        <v>239</v>
      </c>
      <c r="C4" s="124" t="s">
        <v>240</v>
      </c>
      <c r="D4" s="124" t="s">
        <v>241</v>
      </c>
    </row>
    <row r="5" spans="1:11" ht="36">
      <c r="A5">
        <v>1</v>
      </c>
      <c r="B5" s="45">
        <f>K20</f>
        <v>8018.8888888888887</v>
      </c>
      <c r="C5" s="126">
        <f ca="1">B5*(1+'All Expenses'!R3)</f>
        <v>8398.713546081859</v>
      </c>
      <c r="D5" s="127">
        <f ca="1">C5*Expectation!E3</f>
        <v>8398.713546081859</v>
      </c>
      <c r="G5" s="9" t="s">
        <v>151</v>
      </c>
      <c r="H5" s="9" t="s">
        <v>152</v>
      </c>
      <c r="I5" s="9" t="s">
        <v>153</v>
      </c>
      <c r="J5" s="9"/>
      <c r="K5" s="67" t="s">
        <v>154</v>
      </c>
    </row>
    <row r="6" spans="1:11">
      <c r="A6">
        <v>2</v>
      </c>
      <c r="B6" s="22">
        <f ca="1">C5</f>
        <v>8398.713546081859</v>
      </c>
      <c r="C6" s="126">
        <f ca="1">B6*(1+'All Expenses'!R4)</f>
        <v>8845.5539083560889</v>
      </c>
      <c r="D6" s="127">
        <f ca="1">C6*Expectation!E4</f>
        <v>8845.5539083560889</v>
      </c>
      <c r="G6" s="68" t="s">
        <v>155</v>
      </c>
      <c r="H6" s="69">
        <v>8</v>
      </c>
      <c r="I6" s="69">
        <v>20000</v>
      </c>
      <c r="J6" s="68"/>
      <c r="K6" s="70">
        <f>I6/H6</f>
        <v>2500</v>
      </c>
    </row>
    <row r="7" spans="1:11">
      <c r="A7">
        <v>3</v>
      </c>
      <c r="B7" s="22">
        <f t="shared" ref="B7:B39" ca="1" si="0">C6</f>
        <v>8845.5539083560889</v>
      </c>
      <c r="C7" s="126">
        <f ca="1">B7*(1+'All Expenses'!R5)</f>
        <v>9367.8008369528288</v>
      </c>
      <c r="D7" s="127">
        <f ca="1">C7*Expectation!E5</f>
        <v>9367.8008369528288</v>
      </c>
      <c r="G7" s="68" t="s">
        <v>156</v>
      </c>
      <c r="H7" s="69">
        <v>6</v>
      </c>
      <c r="I7" s="69">
        <v>6000</v>
      </c>
      <c r="J7" s="68"/>
      <c r="K7" s="70">
        <f>I7/H7</f>
        <v>1000</v>
      </c>
    </row>
    <row r="8" spans="1:11">
      <c r="A8">
        <v>4</v>
      </c>
      <c r="B8" s="22">
        <f t="shared" ca="1" si="0"/>
        <v>9367.8008369528288</v>
      </c>
      <c r="C8" s="126">
        <f ca="1">B8*(1+'All Expenses'!R6)</f>
        <v>9975.5631227360082</v>
      </c>
      <c r="D8" s="127">
        <f ca="1">C8*Expectation!E6</f>
        <v>9975.5631227360082</v>
      </c>
      <c r="G8" s="68"/>
      <c r="H8" s="68"/>
      <c r="I8" s="68"/>
      <c r="J8" s="68"/>
      <c r="K8" s="70"/>
    </row>
    <row r="9" spans="1:11" ht="36">
      <c r="A9">
        <v>5</v>
      </c>
      <c r="B9" s="22">
        <f t="shared" ca="1" si="0"/>
        <v>9975.5631227360082</v>
      </c>
      <c r="C9" s="126">
        <f ca="1">B9*(1+'All Expenses'!R7)</f>
        <v>10770.345304928558</v>
      </c>
      <c r="D9" s="127">
        <f ca="1">C9*Expectation!E7</f>
        <v>10770.345304928558</v>
      </c>
      <c r="G9" s="9" t="s">
        <v>157</v>
      </c>
      <c r="H9" s="9" t="s">
        <v>158</v>
      </c>
      <c r="I9" s="9" t="s">
        <v>159</v>
      </c>
      <c r="J9" s="9" t="s">
        <v>160</v>
      </c>
      <c r="K9" s="67" t="s">
        <v>154</v>
      </c>
    </row>
    <row r="10" spans="1:11">
      <c r="A10">
        <v>6</v>
      </c>
      <c r="B10" s="22">
        <f t="shared" ca="1" si="0"/>
        <v>10770.345304928558</v>
      </c>
      <c r="C10" s="126">
        <f ca="1">B10*(1+'All Expenses'!R8)</f>
        <v>11787.798612350593</v>
      </c>
      <c r="D10" s="127">
        <f ca="1">C10*Expectation!E8</f>
        <v>11787.798612350593</v>
      </c>
      <c r="G10" s="68"/>
      <c r="H10" s="69">
        <v>30000</v>
      </c>
      <c r="I10" s="69">
        <v>27</v>
      </c>
      <c r="J10" s="75">
        <v>2.6</v>
      </c>
      <c r="K10" s="70">
        <f>(H10/I10)*J10</f>
        <v>2888.8888888888891</v>
      </c>
    </row>
    <row r="11" spans="1:11">
      <c r="A11">
        <v>7</v>
      </c>
      <c r="B11" s="22">
        <f t="shared" ca="1" si="0"/>
        <v>11787.798612350593</v>
      </c>
      <c r="C11" s="126">
        <f ca="1">B11*(1+'All Expenses'!R9)</f>
        <v>13075.770582699557</v>
      </c>
      <c r="D11" s="127">
        <f ca="1">C11*Expectation!E9</f>
        <v>13075.770582699557</v>
      </c>
      <c r="G11" s="68"/>
      <c r="H11" s="68"/>
      <c r="I11" s="68"/>
      <c r="J11" s="68"/>
      <c r="K11" s="70"/>
    </row>
    <row r="12" spans="1:11">
      <c r="A12">
        <v>8</v>
      </c>
      <c r="B12" s="22">
        <f t="shared" ca="1" si="0"/>
        <v>13075.770582699557</v>
      </c>
      <c r="C12" s="126">
        <f ca="1">B12*(1+'All Expenses'!R10)</f>
        <v>14301.96681987897</v>
      </c>
      <c r="D12" s="127">
        <f ca="1">C12*Expectation!E10</f>
        <v>14301.96681987897</v>
      </c>
      <c r="G12" s="71" t="s">
        <v>161</v>
      </c>
      <c r="H12" s="71"/>
      <c r="I12" s="71"/>
      <c r="J12" s="71"/>
      <c r="K12" s="72" t="s">
        <v>154</v>
      </c>
    </row>
    <row r="13" spans="1:11">
      <c r="A13">
        <v>9</v>
      </c>
      <c r="B13" s="22">
        <f t="shared" ca="1" si="0"/>
        <v>14301.96681987897</v>
      </c>
      <c r="C13" s="126">
        <f ca="1">B13*(1+'All Expenses'!R11)</f>
        <v>15421.657471060898</v>
      </c>
      <c r="D13" s="127">
        <f ca="1">C13*Expectation!E11</f>
        <v>15421.657471060898</v>
      </c>
      <c r="G13" s="68" t="s">
        <v>162</v>
      </c>
      <c r="H13" s="69">
        <f>800/4</f>
        <v>200</v>
      </c>
      <c r="I13" s="68"/>
      <c r="J13" s="68"/>
      <c r="K13" s="70">
        <f>H13</f>
        <v>200</v>
      </c>
    </row>
    <row r="14" spans="1:11">
      <c r="A14">
        <v>10</v>
      </c>
      <c r="B14" s="22">
        <f t="shared" ca="1" si="0"/>
        <v>15421.657471060898</v>
      </c>
      <c r="C14" s="126">
        <f ca="1">B14*(1+'All Expenses'!R12)</f>
        <v>16390.173694070683</v>
      </c>
      <c r="D14" s="127">
        <f ca="1">C14*Expectation!E12</f>
        <v>16390.173694070683</v>
      </c>
      <c r="G14" s="68" t="s">
        <v>163</v>
      </c>
      <c r="H14" s="69">
        <f>(H10/3000)*15</f>
        <v>150</v>
      </c>
      <c r="I14" s="68"/>
      <c r="J14" s="68"/>
      <c r="K14" s="70">
        <f>H14</f>
        <v>150</v>
      </c>
    </row>
    <row r="15" spans="1:11">
      <c r="A15">
        <v>11</v>
      </c>
      <c r="B15" s="22">
        <f t="shared" ca="1" si="0"/>
        <v>16390.173694070683</v>
      </c>
      <c r="C15" s="126">
        <f ca="1">B15*(1+'All Expenses'!R13)</f>
        <v>17449.178681373665</v>
      </c>
      <c r="D15" s="127">
        <f ca="1">C15*Expectation!E13</f>
        <v>17449.178681373665</v>
      </c>
      <c r="G15" s="68" t="s">
        <v>164</v>
      </c>
      <c r="H15" s="69">
        <v>80</v>
      </c>
      <c r="I15" s="68"/>
      <c r="J15" s="68"/>
      <c r="K15" s="70">
        <f>H15</f>
        <v>80</v>
      </c>
    </row>
    <row r="16" spans="1:11">
      <c r="A16">
        <v>12</v>
      </c>
      <c r="B16" s="22">
        <f t="shared" ca="1" si="0"/>
        <v>17449.178681373665</v>
      </c>
      <c r="C16" s="126">
        <f ca="1">B16*(1+'All Expenses'!R14)</f>
        <v>18608.188609446213</v>
      </c>
      <c r="D16" s="127">
        <f ca="1">C16*Expectation!E14</f>
        <v>18608.188609446213</v>
      </c>
      <c r="G16" s="68"/>
      <c r="H16" s="68"/>
      <c r="I16" s="68"/>
      <c r="J16" s="68"/>
      <c r="K16" s="70"/>
    </row>
    <row r="17" spans="1:12">
      <c r="A17">
        <v>13</v>
      </c>
      <c r="B17" s="22">
        <f t="shared" ca="1" si="0"/>
        <v>18608.188609446213</v>
      </c>
      <c r="C17" s="126">
        <f ca="1">B17*(1+'All Expenses'!R15)</f>
        <v>19877.860273312352</v>
      </c>
      <c r="D17" s="127">
        <f ca="1">C17*Expectation!E15</f>
        <v>13914.502191318645</v>
      </c>
      <c r="G17" s="9" t="s">
        <v>165</v>
      </c>
      <c r="H17" s="9"/>
      <c r="I17" s="9"/>
      <c r="J17" s="9"/>
      <c r="K17" s="73">
        <v>1200</v>
      </c>
    </row>
    <row r="18" spans="1:12">
      <c r="A18">
        <v>14</v>
      </c>
      <c r="B18" s="22">
        <f t="shared" ca="1" si="0"/>
        <v>19877.860273312352</v>
      </c>
      <c r="C18" s="126">
        <f ca="1">B18*(1+'All Expenses'!R16)</f>
        <v>21107.61492970906</v>
      </c>
      <c r="D18" s="127">
        <f ca="1">C18*Expectation!E16</f>
        <v>14775.33045079634</v>
      </c>
      <c r="G18" s="68"/>
      <c r="H18" s="68"/>
      <c r="I18" s="68"/>
      <c r="J18" s="68"/>
      <c r="K18" s="70"/>
    </row>
    <row r="19" spans="1:12" ht="13.5" thickBot="1">
      <c r="A19">
        <v>15</v>
      </c>
      <c r="B19" s="22">
        <f t="shared" ca="1" si="0"/>
        <v>21107.61492970906</v>
      </c>
      <c r="C19" s="126">
        <f ca="1">B19*(1+'All Expenses'!R17)</f>
        <v>22279.07090940783</v>
      </c>
      <c r="D19" s="127">
        <f ca="1">C19*Expectation!E17</f>
        <v>15595.349636585481</v>
      </c>
      <c r="G19" s="68"/>
      <c r="H19" s="68"/>
      <c r="I19" s="68"/>
      <c r="J19" s="68"/>
      <c r="K19" s="70"/>
    </row>
    <row r="20" spans="1:12" ht="13.5" thickBot="1">
      <c r="A20">
        <v>16</v>
      </c>
      <c r="B20" s="22">
        <f t="shared" ca="1" si="0"/>
        <v>22279.07090940783</v>
      </c>
      <c r="C20" s="126">
        <f ca="1">B20*(1+'All Expenses'!R18)</f>
        <v>23373.705773835485</v>
      </c>
      <c r="D20" s="127">
        <f ca="1">C20*Expectation!E18</f>
        <v>16361.594041684839</v>
      </c>
      <c r="G20" s="74" t="s">
        <v>10</v>
      </c>
      <c r="H20" s="74"/>
      <c r="I20" s="74"/>
      <c r="J20" s="74"/>
      <c r="K20" s="76">
        <f>K17+K15+K14+K13+K10+K7+K6</f>
        <v>8018.8888888888887</v>
      </c>
      <c r="L20" t="s">
        <v>172</v>
      </c>
    </row>
    <row r="21" spans="1:12">
      <c r="A21">
        <v>17</v>
      </c>
      <c r="B21" s="22">
        <f t="shared" ca="1" si="0"/>
        <v>23373.705773835485</v>
      </c>
      <c r="C21" s="126">
        <f ca="1">B21*(1+'All Expenses'!R19)</f>
        <v>24787.099551481351</v>
      </c>
      <c r="D21" s="127">
        <f ca="1">C21*Expectation!E19</f>
        <v>17350.969686036944</v>
      </c>
    </row>
    <row r="22" spans="1:12">
      <c r="A22">
        <v>18</v>
      </c>
      <c r="B22" s="22">
        <f t="shared" ca="1" si="0"/>
        <v>24787.099551481351</v>
      </c>
      <c r="C22" s="126">
        <f ca="1">B22*(1+'All Expenses'!R20)</f>
        <v>26566.959702880926</v>
      </c>
      <c r="D22" s="127">
        <f ca="1">C22*Expectation!E20</f>
        <v>13283.479851440463</v>
      </c>
    </row>
    <row r="23" spans="1:12">
      <c r="A23">
        <v>19</v>
      </c>
      <c r="B23" s="22">
        <f t="shared" ca="1" si="0"/>
        <v>26566.959702880926</v>
      </c>
      <c r="C23" s="126">
        <f ca="1">B23*(1+'All Expenses'!R21)</f>
        <v>28775.801047373374</v>
      </c>
      <c r="D23" s="127">
        <f ca="1">C23*Expectation!E21</f>
        <v>14387.900523686687</v>
      </c>
    </row>
    <row r="24" spans="1:12">
      <c r="A24">
        <v>20</v>
      </c>
      <c r="B24" s="22">
        <f t="shared" ca="1" si="0"/>
        <v>28775.801047373374</v>
      </c>
      <c r="C24" s="126">
        <f ca="1">B24*(1+'All Expenses'!R22)</f>
        <v>31066.795768892913</v>
      </c>
      <c r="D24" s="127">
        <f ca="1">C24*Expectation!E22</f>
        <v>15533.397884446456</v>
      </c>
    </row>
    <row r="25" spans="1:12">
      <c r="A25">
        <v>21</v>
      </c>
      <c r="B25" s="22">
        <f t="shared" ca="1" si="0"/>
        <v>31066.795768892913</v>
      </c>
      <c r="C25" s="126">
        <f ca="1">B25*(1+'All Expenses'!R23)</f>
        <v>33430.613177171879</v>
      </c>
      <c r="D25" s="127">
        <f ca="1">C25*Expectation!E23</f>
        <v>16715.30658858594</v>
      </c>
    </row>
    <row r="26" spans="1:12">
      <c r="A26">
        <v>22</v>
      </c>
      <c r="B26" s="22">
        <f t="shared" ca="1" si="0"/>
        <v>33430.613177171879</v>
      </c>
      <c r="C26" s="126">
        <f ca="1">B26*(1+'All Expenses'!R24)</f>
        <v>35856.376247739936</v>
      </c>
      <c r="D26" s="127">
        <f ca="1">C26*Expectation!E24</f>
        <v>17928.188123869968</v>
      </c>
    </row>
    <row r="27" spans="1:12">
      <c r="A27">
        <v>23</v>
      </c>
      <c r="B27" s="22">
        <f t="shared" ca="1" si="0"/>
        <v>35856.376247739936</v>
      </c>
      <c r="C27" s="126">
        <f ca="1">B27*(1+'All Expenses'!R25)</f>
        <v>38057.687939738986</v>
      </c>
      <c r="D27" s="127">
        <f ca="1">C27*Expectation!E25</f>
        <v>19028.843969869493</v>
      </c>
    </row>
    <row r="28" spans="1:12">
      <c r="A28">
        <v>24</v>
      </c>
      <c r="B28" s="22">
        <f t="shared" ca="1" si="0"/>
        <v>38057.687939738986</v>
      </c>
      <c r="C28" s="126">
        <f ca="1">B28*(1+'All Expenses'!R26)</f>
        <v>39969.090426765673</v>
      </c>
      <c r="D28" s="127">
        <f ca="1">C28*Expectation!E26</f>
        <v>19984.545213382837</v>
      </c>
    </row>
    <row r="29" spans="1:12">
      <c r="A29">
        <v>25</v>
      </c>
      <c r="B29" s="22">
        <f t="shared" ca="1" si="0"/>
        <v>39969.090426765673</v>
      </c>
      <c r="C29" s="126">
        <f ca="1">B29*(1+'All Expenses'!R27)</f>
        <v>41530.089876051374</v>
      </c>
      <c r="D29" s="127">
        <f ca="1">C29*Expectation!E27</f>
        <v>20765.044938025687</v>
      </c>
    </row>
    <row r="30" spans="1:12">
      <c r="A30">
        <v>26</v>
      </c>
      <c r="B30" s="22">
        <f t="shared" ca="1" si="0"/>
        <v>41530.089876051374</v>
      </c>
      <c r="C30" s="126">
        <f ca="1">B30*(1+'All Expenses'!R28)</f>
        <v>43232.915934932542</v>
      </c>
      <c r="D30" s="127">
        <f ca="1">C30*Expectation!E28</f>
        <v>21616.457967466271</v>
      </c>
    </row>
    <row r="31" spans="1:12">
      <c r="A31">
        <v>27</v>
      </c>
      <c r="B31" s="22">
        <f t="shared" ca="1" si="0"/>
        <v>43232.915934932542</v>
      </c>
      <c r="C31" s="126">
        <f ca="1">B31*(1+'All Expenses'!R29)</f>
        <v>45089.738669293118</v>
      </c>
      <c r="D31" s="127">
        <f ca="1">C31*Expectation!E29</f>
        <v>22544.869334646559</v>
      </c>
    </row>
    <row r="32" spans="1:12">
      <c r="A32">
        <v>28</v>
      </c>
      <c r="B32" s="22">
        <f t="shared" ca="1" si="0"/>
        <v>45089.738669293118</v>
      </c>
      <c r="C32" s="126">
        <f ca="1">B32*(1+'All Expenses'!R30)</f>
        <v>47114.102970597436</v>
      </c>
      <c r="D32" s="127">
        <f ca="1">C32*Expectation!E30</f>
        <v>23557.051485298718</v>
      </c>
    </row>
    <row r="33" spans="1:4">
      <c r="A33">
        <v>29</v>
      </c>
      <c r="B33" s="22">
        <f t="shared" ca="1" si="0"/>
        <v>47114.102970597436</v>
      </c>
      <c r="C33" s="126">
        <f ca="1">B33*(1+'All Expenses'!R31)</f>
        <v>48978.219533228606</v>
      </c>
      <c r="D33" s="127">
        <f ca="1">C33*Expectation!E31</f>
        <v>24489.109766614303</v>
      </c>
    </row>
    <row r="34" spans="1:4">
      <c r="A34">
        <v>30</v>
      </c>
      <c r="B34" s="22">
        <f t="shared" ca="1" si="0"/>
        <v>48978.219533228606</v>
      </c>
      <c r="C34" s="126">
        <f ca="1">B34*(1+'All Expenses'!R32)</f>
        <v>50655.02106178469</v>
      </c>
      <c r="D34" s="127">
        <f ca="1">C34*Expectation!E32</f>
        <v>25327.510530892345</v>
      </c>
    </row>
    <row r="35" spans="1:4">
      <c r="A35">
        <v>31</v>
      </c>
      <c r="B35" s="22">
        <f t="shared" ca="1" si="0"/>
        <v>50655.02106178469</v>
      </c>
      <c r="C35" s="126">
        <f ca="1">B35*(1+'All Expenses'!R33)</f>
        <v>52119.220397999379</v>
      </c>
      <c r="D35" s="127">
        <f ca="1">C35*Expectation!E33</f>
        <v>26059.61019899969</v>
      </c>
    </row>
    <row r="36" spans="1:4">
      <c r="A36">
        <v>32</v>
      </c>
      <c r="B36" s="22">
        <f t="shared" ca="1" si="0"/>
        <v>52119.220397999379</v>
      </c>
      <c r="C36" s="126">
        <f ca="1">B36*(1+'All Expenses'!R34)</f>
        <v>53601.737551681079</v>
      </c>
      <c r="D36" s="127">
        <f ca="1">C36*Expectation!E34</f>
        <v>26800.868775840539</v>
      </c>
    </row>
    <row r="37" spans="1:4">
      <c r="A37">
        <v>33</v>
      </c>
      <c r="B37" s="22">
        <f t="shared" ca="1" si="0"/>
        <v>53601.737551681079</v>
      </c>
      <c r="C37" s="126">
        <f ca="1">B37*(1+'All Expenses'!R35)</f>
        <v>55101.736355108515</v>
      </c>
      <c r="D37" s="127">
        <f ca="1">C37*Expectation!E35</f>
        <v>27550.868177554257</v>
      </c>
    </row>
    <row r="38" spans="1:4">
      <c r="A38">
        <v>34</v>
      </c>
      <c r="B38" s="22">
        <f t="shared" ca="1" si="0"/>
        <v>55101.736355108515</v>
      </c>
      <c r="C38" s="126">
        <f ca="1">B38*(1+'All Expenses'!R36)</f>
        <v>56618.332315517888</v>
      </c>
      <c r="D38" s="127">
        <f ca="1">C38*Expectation!E36</f>
        <v>28309.166157758944</v>
      </c>
    </row>
    <row r="39" spans="1:4">
      <c r="A39">
        <v>35</v>
      </c>
      <c r="B39" s="22">
        <f t="shared" ca="1" si="0"/>
        <v>56618.332315517888</v>
      </c>
      <c r="C39" s="126">
        <f ca="1">B39*(1+'All Expenses'!R37)</f>
        <v>57657.224369317548</v>
      </c>
      <c r="D39" s="127">
        <f ca="1">C39*Expectation!E37</f>
        <v>28828.612184658774</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D37"/>
  <sheetViews>
    <sheetView workbookViewId="0">
      <selection activeCell="C1" sqref="C1"/>
    </sheetView>
  </sheetViews>
  <sheetFormatPr defaultRowHeight="12.75"/>
  <cols>
    <col min="2" max="2" width="9.140625" style="22"/>
    <col min="3" max="4" width="12.85546875" customWidth="1"/>
  </cols>
  <sheetData>
    <row r="1" spans="1:4">
      <c r="B1" s="27">
        <f>'Q&amp;A'!A36</f>
        <v>4000</v>
      </c>
      <c r="C1" s="131" t="s">
        <v>273</v>
      </c>
    </row>
    <row r="2" spans="1:4" ht="38.25">
      <c r="A2" s="1" t="s">
        <v>122</v>
      </c>
      <c r="B2" s="25" t="s">
        <v>239</v>
      </c>
      <c r="C2" s="124" t="s">
        <v>240</v>
      </c>
      <c r="D2" s="124" t="s">
        <v>241</v>
      </c>
    </row>
    <row r="3" spans="1:4">
      <c r="A3">
        <v>1</v>
      </c>
      <c r="B3" s="22">
        <f>B1</f>
        <v>4000</v>
      </c>
      <c r="C3" s="126">
        <f ca="1">B3*(1+'All Expenses'!R3)</f>
        <v>4189.4649807253281</v>
      </c>
      <c r="D3" s="127">
        <f ca="1">C3*Expectation!F3</f>
        <v>4189.4649807253281</v>
      </c>
    </row>
    <row r="4" spans="1:4">
      <c r="A4">
        <v>2</v>
      </c>
      <c r="B4" s="22">
        <f ca="1">C3</f>
        <v>4189.4649807253281</v>
      </c>
      <c r="C4" s="126">
        <f ca="1">B4*(1+'All Expenses'!R4)</f>
        <v>4412.3588845894301</v>
      </c>
      <c r="D4" s="127">
        <f ca="1">C4*Expectation!F4</f>
        <v>8824.7177691788602</v>
      </c>
    </row>
    <row r="5" spans="1:4">
      <c r="A5">
        <v>3</v>
      </c>
      <c r="B5" s="22">
        <f t="shared" ref="B5:B37" ca="1" si="0">C4</f>
        <v>4412.3588845894301</v>
      </c>
      <c r="C5" s="126">
        <f ca="1">B5*(1+'All Expenses'!R5)</f>
        <v>4672.867259668863</v>
      </c>
      <c r="D5" s="127">
        <f ca="1">C5*Expectation!F5</f>
        <v>14018.601779006589</v>
      </c>
    </row>
    <row r="6" spans="1:4">
      <c r="A6">
        <v>4</v>
      </c>
      <c r="B6" s="22">
        <f t="shared" ca="1" si="0"/>
        <v>4672.867259668863</v>
      </c>
      <c r="C6" s="126">
        <f ca="1">B6*(1+'All Expenses'!R6)</f>
        <v>4976.0325955174767</v>
      </c>
      <c r="D6" s="127">
        <f ca="1">C6*Expectation!F6</f>
        <v>14928.097786552429</v>
      </c>
    </row>
    <row r="7" spans="1:4">
      <c r="A7">
        <v>5</v>
      </c>
      <c r="B7" s="22">
        <f t="shared" ca="1" si="0"/>
        <v>4976.0325955174767</v>
      </c>
      <c r="C7" s="126">
        <f ca="1">B7*(1+'All Expenses'!R7)</f>
        <v>5372.4876122686455</v>
      </c>
      <c r="D7" s="127">
        <f ca="1">C7*Expectation!F7</f>
        <v>16117.462836805937</v>
      </c>
    </row>
    <row r="8" spans="1:4">
      <c r="A8">
        <v>6</v>
      </c>
      <c r="B8" s="22">
        <f t="shared" ca="1" si="0"/>
        <v>5372.4876122686455</v>
      </c>
      <c r="C8" s="126">
        <f ca="1">B8*(1+'All Expenses'!R8)</f>
        <v>5880.0159352171459</v>
      </c>
      <c r="D8" s="127">
        <f ca="1">C8*Expectation!F8</f>
        <v>17640.047805651437</v>
      </c>
    </row>
    <row r="9" spans="1:4">
      <c r="A9">
        <v>7</v>
      </c>
      <c r="B9" s="22">
        <f t="shared" ca="1" si="0"/>
        <v>5880.0159352171459</v>
      </c>
      <c r="C9" s="126">
        <f ca="1">B9*(1+'All Expenses'!R9)</f>
        <v>6522.4849795924092</v>
      </c>
      <c r="D9" s="127">
        <f ca="1">C9*Expectation!F9</f>
        <v>19567.454938777228</v>
      </c>
    </row>
    <row r="10" spans="1:4">
      <c r="A10">
        <v>8</v>
      </c>
      <c r="B10" s="22">
        <f t="shared" ca="1" si="0"/>
        <v>6522.4849795924092</v>
      </c>
      <c r="C10" s="126">
        <f ca="1">B10*(1+'All Expenses'!R10)</f>
        <v>7134.1389152784122</v>
      </c>
      <c r="D10" s="127">
        <f ca="1">C10*Expectation!F10</f>
        <v>7134.1389152784122</v>
      </c>
    </row>
    <row r="11" spans="1:4">
      <c r="A11">
        <v>9</v>
      </c>
      <c r="B11" s="22">
        <f t="shared" ca="1" si="0"/>
        <v>7134.1389152784122</v>
      </c>
      <c r="C11" s="126">
        <f ca="1">B11*(1+'All Expenses'!R11)</f>
        <v>7692.6654975501242</v>
      </c>
      <c r="D11" s="127">
        <f ca="1">C11*Expectation!F11</f>
        <v>7692.6654975501242</v>
      </c>
    </row>
    <row r="12" spans="1:4">
      <c r="A12">
        <v>10</v>
      </c>
      <c r="B12" s="22">
        <f t="shared" ca="1" si="0"/>
        <v>7692.6654975501242</v>
      </c>
      <c r="C12" s="126">
        <f ca="1">B12*(1+'All Expenses'!R12)</f>
        <v>8175.7829151523438</v>
      </c>
      <c r="D12" s="127">
        <f ca="1">C12*Expectation!F12</f>
        <v>24527.348745457031</v>
      </c>
    </row>
    <row r="13" spans="1:4">
      <c r="A13">
        <v>11</v>
      </c>
      <c r="B13" s="22">
        <f t="shared" ca="1" si="0"/>
        <v>8175.7829151523438</v>
      </c>
      <c r="C13" s="126">
        <f ca="1">B13*(1+'All Expenses'!R13)</f>
        <v>8704.0381395240693</v>
      </c>
      <c r="D13" s="127">
        <f ca="1">C13*Expectation!F13</f>
        <v>8704.0381395240693</v>
      </c>
    </row>
    <row r="14" spans="1:4">
      <c r="A14">
        <v>12</v>
      </c>
      <c r="B14" s="22">
        <f t="shared" ca="1" si="0"/>
        <v>8704.0381395240693</v>
      </c>
      <c r="C14" s="126">
        <f ca="1">B14*(1+'All Expenses'!R14)</f>
        <v>9282.1780509916007</v>
      </c>
      <c r="D14" s="127">
        <f ca="1">C14*Expectation!F14</f>
        <v>9282.1780509916007</v>
      </c>
    </row>
    <row r="15" spans="1:4">
      <c r="A15">
        <v>13</v>
      </c>
      <c r="B15" s="22">
        <f t="shared" ca="1" si="0"/>
        <v>9282.1780509916007</v>
      </c>
      <c r="C15" s="126">
        <f ca="1">B15*(1+'All Expenses'!R15)</f>
        <v>9915.5184957634046</v>
      </c>
      <c r="D15" s="127">
        <f ca="1">C15*Expectation!F15</f>
        <v>9915.5184957634046</v>
      </c>
    </row>
    <row r="16" spans="1:4">
      <c r="A16">
        <v>14</v>
      </c>
      <c r="B16" s="22">
        <f t="shared" ca="1" si="0"/>
        <v>9915.5184957634046</v>
      </c>
      <c r="C16" s="126">
        <f ca="1">B16*(1+'All Expenses'!R16)</f>
        <v>10528.947450041935</v>
      </c>
      <c r="D16" s="127">
        <f ca="1">C16*Expectation!F16</f>
        <v>10528.947450041935</v>
      </c>
    </row>
    <row r="17" spans="1:4">
      <c r="A17">
        <v>15</v>
      </c>
      <c r="B17" s="22">
        <f t="shared" ca="1" si="0"/>
        <v>10528.947450041935</v>
      </c>
      <c r="C17" s="126">
        <f ca="1">B17*(1+'All Expenses'!R17)</f>
        <v>11113.295728677875</v>
      </c>
      <c r="D17" s="127">
        <f ca="1">C17*Expectation!F17</f>
        <v>22226.591457355749</v>
      </c>
    </row>
    <row r="18" spans="1:4">
      <c r="A18">
        <v>16</v>
      </c>
      <c r="B18" s="22">
        <f t="shared" ca="1" si="0"/>
        <v>11113.295728677875</v>
      </c>
      <c r="C18" s="126">
        <f ca="1">B18*(1+'All Expenses'!R18)</f>
        <v>11659.323927644144</v>
      </c>
      <c r="D18" s="127">
        <f ca="1">C18*Expectation!F18</f>
        <v>11659.323927644144</v>
      </c>
    </row>
    <row r="19" spans="1:4">
      <c r="A19">
        <v>17</v>
      </c>
      <c r="B19" s="22">
        <f t="shared" ca="1" si="0"/>
        <v>11659.323927644144</v>
      </c>
      <c r="C19" s="126">
        <f ca="1">B19*(1+'All Expenses'!R19)</f>
        <v>12364.356157036567</v>
      </c>
      <c r="D19" s="127">
        <f ca="1">C19*Expectation!F19</f>
        <v>12364.356157036567</v>
      </c>
    </row>
    <row r="20" spans="1:4">
      <c r="A20">
        <v>18</v>
      </c>
      <c r="B20" s="22">
        <f t="shared" ca="1" si="0"/>
        <v>12364.356157036567</v>
      </c>
      <c r="C20" s="126">
        <f ca="1">B20*(1+'All Expenses'!R20)</f>
        <v>13252.189958482941</v>
      </c>
      <c r="D20" s="127">
        <f ca="1">C20*Expectation!F20</f>
        <v>6626.0949792414704</v>
      </c>
    </row>
    <row r="21" spans="1:4">
      <c r="A21">
        <v>19</v>
      </c>
      <c r="B21" s="22">
        <f t="shared" ca="1" si="0"/>
        <v>13252.189958482941</v>
      </c>
      <c r="C21" s="126">
        <f ca="1">B21*(1+'All Expenses'!R21)</f>
        <v>14354.009113280337</v>
      </c>
      <c r="D21" s="127">
        <f ca="1">C21*Expectation!F21</f>
        <v>7177.0045566401686</v>
      </c>
    </row>
    <row r="22" spans="1:4">
      <c r="A22">
        <v>20</v>
      </c>
      <c r="B22" s="22">
        <f t="shared" ca="1" si="0"/>
        <v>14354.009113280337</v>
      </c>
      <c r="C22" s="126">
        <f ca="1">B22*(1+'All Expenses'!R22)</f>
        <v>15496.80819842241</v>
      </c>
      <c r="D22" s="127">
        <f ca="1">C22*Expectation!F22</f>
        <v>15496.80819842241</v>
      </c>
    </row>
    <row r="23" spans="1:4">
      <c r="A23">
        <v>21</v>
      </c>
      <c r="B23" s="22">
        <f t="shared" ca="1" si="0"/>
        <v>15496.80819842241</v>
      </c>
      <c r="C23" s="126">
        <f ca="1">B23*(1+'All Expenses'!R23)</f>
        <v>16675.932858226246</v>
      </c>
      <c r="D23" s="127">
        <f ca="1">C23*Expectation!F23</f>
        <v>16675.932858226246</v>
      </c>
    </row>
    <row r="24" spans="1:4">
      <c r="A24">
        <v>22</v>
      </c>
      <c r="B24" s="22">
        <f t="shared" ca="1" si="0"/>
        <v>16675.932858226246</v>
      </c>
      <c r="C24" s="126">
        <f ca="1">B24*(1+'All Expenses'!R24)</f>
        <v>17885.957391140892</v>
      </c>
      <c r="D24" s="127">
        <f ca="1">C24*Expectation!F24</f>
        <v>8942.9786955704458</v>
      </c>
    </row>
    <row r="25" spans="1:4">
      <c r="A25">
        <v>23</v>
      </c>
      <c r="B25" s="22">
        <f t="shared" ca="1" si="0"/>
        <v>17885.957391140892</v>
      </c>
      <c r="C25" s="126">
        <f ca="1">B25*(1+'All Expenses'!R25)</f>
        <v>18984.020587925788</v>
      </c>
      <c r="D25" s="127">
        <f ca="1">C25*Expectation!F25</f>
        <v>7593.6082351703153</v>
      </c>
    </row>
    <row r="26" spans="1:4">
      <c r="A26">
        <v>24</v>
      </c>
      <c r="B26" s="22">
        <f t="shared" ca="1" si="0"/>
        <v>18984.020587925788</v>
      </c>
      <c r="C26" s="126">
        <f ca="1">B26*(1+'All Expenses'!R26)</f>
        <v>19937.470629951014</v>
      </c>
      <c r="D26" s="127">
        <f ca="1">C26*Expectation!F26</f>
        <v>7974.9882519804059</v>
      </c>
    </row>
    <row r="27" spans="1:4">
      <c r="A27">
        <v>25</v>
      </c>
      <c r="B27" s="22">
        <f t="shared" ca="1" si="0"/>
        <v>19937.470629951014</v>
      </c>
      <c r="C27" s="126">
        <f ca="1">B27*(1+'All Expenses'!R27)</f>
        <v>20716.131848937923</v>
      </c>
      <c r="D27" s="127">
        <f ca="1">C27*Expectation!F27</f>
        <v>8286.4527395751702</v>
      </c>
    </row>
    <row r="28" spans="1:4">
      <c r="A28">
        <v>26</v>
      </c>
      <c r="B28" s="22">
        <f t="shared" ca="1" si="0"/>
        <v>20716.131848937923</v>
      </c>
      <c r="C28" s="126">
        <f ca="1">B28*(1+'All Expenses'!R28)</f>
        <v>21565.539332930191</v>
      </c>
      <c r="D28" s="127">
        <f ca="1">C28*Expectation!F28</f>
        <v>8626.2157331720773</v>
      </c>
    </row>
    <row r="29" spans="1:4">
      <c r="A29">
        <v>27</v>
      </c>
      <c r="B29" s="22">
        <f t="shared" ca="1" si="0"/>
        <v>21565.539332930191</v>
      </c>
      <c r="C29" s="126">
        <f ca="1">B29*(1+'All Expenses'!R29)</f>
        <v>22491.763781274112</v>
      </c>
      <c r="D29" s="127">
        <f ca="1">C29*Expectation!F29</f>
        <v>8996.7055125096449</v>
      </c>
    </row>
    <row r="30" spans="1:4">
      <c r="A30">
        <v>28</v>
      </c>
      <c r="B30" s="22">
        <f t="shared" ca="1" si="0"/>
        <v>22491.763781274112</v>
      </c>
      <c r="C30" s="126">
        <f ca="1">B30*(1+'All Expenses'!R30)</f>
        <v>23501.561686871391</v>
      </c>
      <c r="D30" s="127">
        <f ca="1">C30*Expectation!F30</f>
        <v>9400.6246747485566</v>
      </c>
    </row>
    <row r="31" spans="1:4">
      <c r="A31">
        <v>29</v>
      </c>
      <c r="B31" s="22">
        <f t="shared" ca="1" si="0"/>
        <v>23501.561686871391</v>
      </c>
      <c r="C31" s="126">
        <f ca="1">B31*(1+'All Expenses'!R31)</f>
        <v>24431.424458864218</v>
      </c>
      <c r="D31" s="127">
        <f ca="1">C31*Expectation!F31</f>
        <v>9772.5697835456867</v>
      </c>
    </row>
    <row r="32" spans="1:4">
      <c r="A32">
        <v>30</v>
      </c>
      <c r="B32" s="22">
        <f t="shared" ca="1" si="0"/>
        <v>24431.424458864218</v>
      </c>
      <c r="C32" s="126">
        <f ca="1">B32*(1+'All Expenses'!R32)</f>
        <v>25267.850328727305</v>
      </c>
      <c r="D32" s="127">
        <f ca="1">C32*Expectation!F32</f>
        <v>10107.140131490924</v>
      </c>
    </row>
    <row r="33" spans="1:4">
      <c r="A33">
        <v>31</v>
      </c>
      <c r="B33" s="22">
        <f t="shared" ca="1" si="0"/>
        <v>25267.850328727305</v>
      </c>
      <c r="C33" s="126">
        <f ca="1">B33*(1+'All Expenses'!R33)</f>
        <v>25998.225499902706</v>
      </c>
      <c r="D33" s="127">
        <f ca="1">C33*Expectation!F33</f>
        <v>10399.290199961084</v>
      </c>
    </row>
    <row r="34" spans="1:4">
      <c r="A34">
        <v>32</v>
      </c>
      <c r="B34" s="22">
        <f t="shared" ca="1" si="0"/>
        <v>25998.225499902706</v>
      </c>
      <c r="C34" s="126">
        <f ca="1">B34*(1+'All Expenses'!R34)</f>
        <v>26737.738005549669</v>
      </c>
      <c r="D34" s="127">
        <f ca="1">C34*Expectation!F34</f>
        <v>10695.095202219869</v>
      </c>
    </row>
    <row r="35" spans="1:4">
      <c r="A35">
        <v>33</v>
      </c>
      <c r="B35" s="22">
        <f t="shared" ca="1" si="0"/>
        <v>26737.738005549669</v>
      </c>
      <c r="C35" s="126">
        <f ca="1">B35*(1+'All Expenses'!R35)</f>
        <v>27485.970746624738</v>
      </c>
      <c r="D35" s="127">
        <f ca="1">C35*Expectation!F35</f>
        <v>10994.388298649896</v>
      </c>
    </row>
    <row r="36" spans="1:4">
      <c r="A36">
        <v>34</v>
      </c>
      <c r="B36" s="22">
        <f t="shared" ca="1" si="0"/>
        <v>27485.970746624738</v>
      </c>
      <c r="C36" s="126">
        <f ca="1">B36*(1+'All Expenses'!R36)</f>
        <v>28242.48251847921</v>
      </c>
      <c r="D36" s="127">
        <f ca="1">C36*Expectation!F36</f>
        <v>11296.993007391684</v>
      </c>
    </row>
    <row r="37" spans="1:4">
      <c r="A37">
        <v>35</v>
      </c>
      <c r="B37" s="22">
        <f t="shared" ca="1" si="0"/>
        <v>28242.48251847921</v>
      </c>
      <c r="C37" s="126">
        <f ca="1">B37*(1+'All Expenses'!R37)</f>
        <v>28760.704964603468</v>
      </c>
      <c r="D37" s="127">
        <f ca="1">C37*Expectation!F37</f>
        <v>11504.281985841388</v>
      </c>
    </row>
  </sheetData>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G38"/>
  <sheetViews>
    <sheetView workbookViewId="0">
      <selection activeCell="C1" sqref="C1"/>
    </sheetView>
  </sheetViews>
  <sheetFormatPr defaultRowHeight="12.75"/>
  <cols>
    <col min="3" max="3" width="12.85546875" customWidth="1"/>
    <col min="4" max="4" width="13" customWidth="1"/>
    <col min="5" max="5" width="3.28515625" customWidth="1"/>
  </cols>
  <sheetData>
    <row r="1" spans="1:7">
      <c r="B1" s="101">
        <f>2023+992</f>
        <v>3015</v>
      </c>
      <c r="C1" s="131" t="s">
        <v>274</v>
      </c>
    </row>
    <row r="3" spans="1:7" ht="38.25">
      <c r="A3" s="1" t="s">
        <v>122</v>
      </c>
      <c r="B3" s="25" t="s">
        <v>239</v>
      </c>
      <c r="C3" s="124" t="s">
        <v>240</v>
      </c>
      <c r="D3" s="124" t="s">
        <v>241</v>
      </c>
      <c r="E3" s="124"/>
    </row>
    <row r="4" spans="1:7">
      <c r="A4">
        <v>1</v>
      </c>
      <c r="B4" s="45">
        <f>F8</f>
        <v>10400</v>
      </c>
      <c r="C4" s="126">
        <f ca="1">B4*(1+'All Expenses'!R3)</f>
        <v>10892.608949885855</v>
      </c>
      <c r="D4" s="126">
        <f ca="1">C4*Expectation!G3</f>
        <v>10892.608949885855</v>
      </c>
      <c r="F4" s="61">
        <v>120</v>
      </c>
      <c r="G4" t="s">
        <v>217</v>
      </c>
    </row>
    <row r="5" spans="1:7">
      <c r="A5">
        <v>2</v>
      </c>
      <c r="B5" s="22">
        <f ca="1">C4</f>
        <v>10892.608949885855</v>
      </c>
      <c r="C5" s="126">
        <f ca="1">B5*(1+'All Expenses'!R4)</f>
        <v>11472.13309993252</v>
      </c>
      <c r="D5" s="126">
        <f ca="1">C5*Expectation!G4</f>
        <v>11472.13309993252</v>
      </c>
      <c r="F5" s="61">
        <v>80</v>
      </c>
      <c r="G5" t="s">
        <v>218</v>
      </c>
    </row>
    <row r="6" spans="1:7">
      <c r="A6">
        <v>3</v>
      </c>
      <c r="B6" s="22">
        <f t="shared" ref="B6:B38" ca="1" si="0">C5</f>
        <v>11472.13309993252</v>
      </c>
      <c r="C6" s="126">
        <f ca="1">B6*(1+'All Expenses'!R5)</f>
        <v>12149.454875139045</v>
      </c>
      <c r="D6" s="126">
        <f ca="1">C6*Expectation!G5</f>
        <v>9719.5639001112359</v>
      </c>
      <c r="F6" s="61">
        <f>SUM(F4:F5)</f>
        <v>200</v>
      </c>
      <c r="G6" t="s">
        <v>219</v>
      </c>
    </row>
    <row r="7" spans="1:7" ht="13.5" thickBot="1">
      <c r="A7">
        <v>4</v>
      </c>
      <c r="B7" s="22">
        <f t="shared" ca="1" si="0"/>
        <v>12149.454875139045</v>
      </c>
      <c r="C7" s="126">
        <f ca="1">B7*(1+'All Expenses'!R6)</f>
        <v>12937.68474834544</v>
      </c>
      <c r="D7" s="126">
        <f ca="1">C7*Expectation!G6</f>
        <v>10350.147798676353</v>
      </c>
    </row>
    <row r="8" spans="1:7" ht="13.5" thickBot="1">
      <c r="A8">
        <v>5</v>
      </c>
      <c r="B8" s="22">
        <f t="shared" ca="1" si="0"/>
        <v>12937.68474834544</v>
      </c>
      <c r="C8" s="126">
        <f ca="1">B8*(1+'All Expenses'!R7)</f>
        <v>13968.467791898478</v>
      </c>
      <c r="D8" s="126">
        <f ca="1">C8*Expectation!G7</f>
        <v>11174.774233518783</v>
      </c>
      <c r="F8" s="102">
        <f>F6*52</f>
        <v>10400</v>
      </c>
      <c r="G8" t="s">
        <v>220</v>
      </c>
    </row>
    <row r="9" spans="1:7">
      <c r="A9">
        <v>6</v>
      </c>
      <c r="B9" s="22">
        <f t="shared" ca="1" si="0"/>
        <v>13968.467791898478</v>
      </c>
      <c r="C9" s="126">
        <f ca="1">B9*(1+'All Expenses'!R8)</f>
        <v>15288.041431564578</v>
      </c>
      <c r="D9" s="126">
        <f ca="1">C9*Expectation!G8</f>
        <v>12230.433145251664</v>
      </c>
    </row>
    <row r="10" spans="1:7">
      <c r="A10">
        <v>7</v>
      </c>
      <c r="B10" s="22">
        <f t="shared" ca="1" si="0"/>
        <v>15288.041431564578</v>
      </c>
      <c r="C10" s="126">
        <f ca="1">B10*(1+'All Expenses'!R9)</f>
        <v>16958.46094694026</v>
      </c>
      <c r="D10" s="126">
        <f ca="1">C10*Expectation!G9</f>
        <v>13566.768757552209</v>
      </c>
    </row>
    <row r="11" spans="1:7">
      <c r="A11">
        <v>8</v>
      </c>
      <c r="B11" s="22">
        <f t="shared" ca="1" si="0"/>
        <v>16958.46094694026</v>
      </c>
      <c r="C11" s="126">
        <f ca="1">B11*(1+'All Expenses'!R10)</f>
        <v>18548.761179723868</v>
      </c>
      <c r="D11" s="126">
        <f ca="1">C11*Expectation!G10</f>
        <v>12984.132825806706</v>
      </c>
    </row>
    <row r="12" spans="1:7">
      <c r="A12">
        <v>9</v>
      </c>
      <c r="B12" s="22">
        <f t="shared" ca="1" si="0"/>
        <v>18548.761179723868</v>
      </c>
      <c r="C12" s="126">
        <f ca="1">B12*(1+'All Expenses'!R11)</f>
        <v>20000.930293630317</v>
      </c>
      <c r="D12" s="126">
        <f ca="1">C12*Expectation!G11</f>
        <v>14000.651205541222</v>
      </c>
    </row>
    <row r="13" spans="1:7">
      <c r="A13">
        <v>10</v>
      </c>
      <c r="B13" s="22">
        <f t="shared" ca="1" si="0"/>
        <v>20000.930293630317</v>
      </c>
      <c r="C13" s="126">
        <f ca="1">B13*(1+'All Expenses'!R12)</f>
        <v>21257.035579396088</v>
      </c>
      <c r="D13" s="126">
        <f ca="1">C13*Expectation!G12</f>
        <v>14879.92490557726</v>
      </c>
    </row>
    <row r="14" spans="1:7">
      <c r="A14">
        <v>11</v>
      </c>
      <c r="B14" s="22">
        <f t="shared" ca="1" si="0"/>
        <v>21257.035579396088</v>
      </c>
      <c r="C14" s="126">
        <f ca="1">B14*(1+'All Expenses'!R13)</f>
        <v>22630.499162762571</v>
      </c>
      <c r="D14" s="126">
        <f ca="1">C14*Expectation!G13</f>
        <v>15841.349413933798</v>
      </c>
    </row>
    <row r="15" spans="1:7">
      <c r="A15">
        <v>12</v>
      </c>
      <c r="B15" s="22">
        <f t="shared" ca="1" si="0"/>
        <v>22630.499162762571</v>
      </c>
      <c r="C15" s="126">
        <f ca="1">B15*(1+'All Expenses'!R14)</f>
        <v>24133.662932578151</v>
      </c>
      <c r="D15" s="126">
        <f ca="1">C15*Expectation!G14</f>
        <v>16893.564052804704</v>
      </c>
    </row>
    <row r="16" spans="1:7">
      <c r="A16">
        <v>13</v>
      </c>
      <c r="B16" s="22">
        <f t="shared" ca="1" si="0"/>
        <v>24133.662932578151</v>
      </c>
      <c r="C16" s="126">
        <f ca="1">B16*(1+'All Expenses'!R15)</f>
        <v>25780.34808898484</v>
      </c>
      <c r="D16" s="126">
        <f ca="1">C16*Expectation!G15</f>
        <v>18046.243662289387</v>
      </c>
    </row>
    <row r="17" spans="1:4">
      <c r="A17">
        <v>14</v>
      </c>
      <c r="B17" s="22">
        <f t="shared" ca="1" si="0"/>
        <v>25780.34808898484</v>
      </c>
      <c r="C17" s="126">
        <f ca="1">B17*(1+'All Expenses'!R16)</f>
        <v>27375.263370109016</v>
      </c>
      <c r="D17" s="126">
        <f ca="1">C17*Expectation!G16</f>
        <v>19162.684359076309</v>
      </c>
    </row>
    <row r="18" spans="1:4">
      <c r="A18">
        <v>15</v>
      </c>
      <c r="B18" s="22">
        <f t="shared" ca="1" si="0"/>
        <v>27375.263370109016</v>
      </c>
      <c r="C18" s="126">
        <f ca="1">B18*(1+'All Expenses'!R17)</f>
        <v>28894.568894562461</v>
      </c>
      <c r="D18" s="126">
        <f ca="1">C18*Expectation!G17</f>
        <v>20226.198226193723</v>
      </c>
    </row>
    <row r="19" spans="1:4">
      <c r="A19">
        <v>16</v>
      </c>
      <c r="B19" s="22">
        <f t="shared" ca="1" si="0"/>
        <v>28894.568894562461</v>
      </c>
      <c r="C19" s="126">
        <f ca="1">B19*(1+'All Expenses'!R18)</f>
        <v>30314.242211874756</v>
      </c>
      <c r="D19" s="126">
        <f ca="1">C19*Expectation!G18</f>
        <v>21219.969548312329</v>
      </c>
    </row>
    <row r="20" spans="1:4">
      <c r="A20">
        <v>17</v>
      </c>
      <c r="B20" s="22">
        <f t="shared" ca="1" si="0"/>
        <v>30314.242211874756</v>
      </c>
      <c r="C20" s="126">
        <f ca="1">B20*(1+'All Expenses'!R19)</f>
        <v>32147.326008295055</v>
      </c>
      <c r="D20" s="126">
        <f ca="1">C20*Expectation!G19</f>
        <v>22503.128205806537</v>
      </c>
    </row>
    <row r="21" spans="1:4">
      <c r="A21">
        <v>18</v>
      </c>
      <c r="B21" s="22">
        <f t="shared" ca="1" si="0"/>
        <v>32147.326008295055</v>
      </c>
      <c r="C21" s="126">
        <f ca="1">B21*(1+'All Expenses'!R20)</f>
        <v>34455.693892055628</v>
      </c>
      <c r="D21" s="126">
        <f ca="1">C21*Expectation!G20</f>
        <v>20673.416335233374</v>
      </c>
    </row>
    <row r="22" spans="1:4">
      <c r="A22">
        <v>19</v>
      </c>
      <c r="B22" s="22">
        <f t="shared" ca="1" si="0"/>
        <v>34455.693892055628</v>
      </c>
      <c r="C22" s="126">
        <f ca="1">B22*(1+'All Expenses'!R21)</f>
        <v>37320.423694528858</v>
      </c>
      <c r="D22" s="126">
        <f ca="1">C22*Expectation!G21</f>
        <v>22392.254216717312</v>
      </c>
    </row>
    <row r="23" spans="1:4">
      <c r="A23">
        <v>20</v>
      </c>
      <c r="B23" s="22">
        <f t="shared" ca="1" si="0"/>
        <v>37320.423694528858</v>
      </c>
      <c r="C23" s="126">
        <f ca="1">B23*(1+'All Expenses'!R22)</f>
        <v>40291.701315898245</v>
      </c>
      <c r="D23" s="126">
        <f ca="1">C23*Expectation!G22</f>
        <v>24175.020789538947</v>
      </c>
    </row>
    <row r="24" spans="1:4">
      <c r="A24">
        <v>21</v>
      </c>
      <c r="B24" s="22">
        <f t="shared" ca="1" si="0"/>
        <v>40291.701315898245</v>
      </c>
      <c r="C24" s="126">
        <f ca="1">B24*(1+'All Expenses'!R23)</f>
        <v>43357.425431388212</v>
      </c>
      <c r="D24" s="126">
        <f ca="1">C24*Expectation!G23</f>
        <v>26014.455258832928</v>
      </c>
    </row>
    <row r="25" spans="1:4">
      <c r="A25">
        <v>22</v>
      </c>
      <c r="B25" s="22">
        <f t="shared" ca="1" si="0"/>
        <v>43357.425431388212</v>
      </c>
      <c r="C25" s="126">
        <f ca="1">B25*(1+'All Expenses'!R24)</f>
        <v>46503.489216966293</v>
      </c>
      <c r="D25" s="126">
        <f ca="1">C25*Expectation!G24</f>
        <v>27902.093530179776</v>
      </c>
    </row>
    <row r="26" spans="1:4">
      <c r="A26">
        <v>23</v>
      </c>
      <c r="B26" s="22">
        <f t="shared" ca="1" si="0"/>
        <v>46503.489216966293</v>
      </c>
      <c r="C26" s="126">
        <f ca="1">B26*(1+'All Expenses'!R25)</f>
        <v>49358.453528607017</v>
      </c>
      <c r="D26" s="126">
        <f ca="1">C26*Expectation!G25</f>
        <v>24679.226764303508</v>
      </c>
    </row>
    <row r="27" spans="1:4">
      <c r="A27">
        <v>24</v>
      </c>
      <c r="B27" s="22">
        <f t="shared" ca="1" si="0"/>
        <v>49358.453528607017</v>
      </c>
      <c r="C27" s="126">
        <f ca="1">B27*(1+'All Expenses'!R26)</f>
        <v>51837.423637872605</v>
      </c>
      <c r="D27" s="126">
        <f ca="1">C27*Expectation!G26</f>
        <v>25918.711818936303</v>
      </c>
    </row>
    <row r="28" spans="1:4">
      <c r="A28">
        <v>25</v>
      </c>
      <c r="B28" s="22">
        <f t="shared" ca="1" si="0"/>
        <v>51837.423637872605</v>
      </c>
      <c r="C28" s="126">
        <f ca="1">B28*(1+'All Expenses'!R27)</f>
        <v>53861.942807238564</v>
      </c>
      <c r="D28" s="126">
        <f ca="1">C28*Expectation!G27</f>
        <v>26930.971403619282</v>
      </c>
    </row>
    <row r="29" spans="1:4">
      <c r="A29">
        <v>26</v>
      </c>
      <c r="B29" s="22">
        <f t="shared" ca="1" si="0"/>
        <v>53861.942807238564</v>
      </c>
      <c r="C29" s="126">
        <f ca="1">B29*(1+'All Expenses'!R28)</f>
        <v>56070.402265618461</v>
      </c>
      <c r="D29" s="126">
        <f ca="1">C29*Expectation!G28</f>
        <v>28035.20113280923</v>
      </c>
    </row>
    <row r="30" spans="1:4">
      <c r="A30">
        <v>27</v>
      </c>
      <c r="B30" s="22">
        <f t="shared" ca="1" si="0"/>
        <v>56070.402265618461</v>
      </c>
      <c r="C30" s="126">
        <f ca="1">B30*(1+'All Expenses'!R29)</f>
        <v>58478.585831312652</v>
      </c>
      <c r="D30" s="126">
        <f ca="1">C30*Expectation!G29</f>
        <v>29239.292915656326</v>
      </c>
    </row>
    <row r="31" spans="1:4">
      <c r="A31">
        <v>28</v>
      </c>
      <c r="B31" s="22">
        <f t="shared" ca="1" si="0"/>
        <v>58478.585831312652</v>
      </c>
      <c r="C31" s="126">
        <f ca="1">B31*(1+'All Expenses'!R30)</f>
        <v>61104.060385865574</v>
      </c>
      <c r="D31" s="126">
        <f ca="1">C31*Expectation!G30</f>
        <v>30552.030192932787</v>
      </c>
    </row>
    <row r="32" spans="1:4">
      <c r="A32">
        <v>29</v>
      </c>
      <c r="B32" s="22">
        <f t="shared" ca="1" si="0"/>
        <v>61104.060385865574</v>
      </c>
      <c r="C32" s="126">
        <f ca="1">B32*(1+'All Expenses'!R31)</f>
        <v>63521.703593046921</v>
      </c>
      <c r="D32" s="126">
        <f ca="1">C32*Expectation!G31</f>
        <v>31760.851796523461</v>
      </c>
    </row>
    <row r="33" spans="1:4">
      <c r="A33">
        <v>30</v>
      </c>
      <c r="B33" s="22">
        <f t="shared" ca="1" si="0"/>
        <v>63521.703593046921</v>
      </c>
      <c r="C33" s="126">
        <f ca="1">B33*(1+'All Expenses'!R32)</f>
        <v>65696.410854690941</v>
      </c>
      <c r="D33" s="126">
        <f ca="1">C33*Expectation!G32</f>
        <v>39417.846512814562</v>
      </c>
    </row>
    <row r="34" spans="1:4">
      <c r="A34">
        <v>31</v>
      </c>
      <c r="B34" s="22">
        <f t="shared" ca="1" si="0"/>
        <v>65696.410854690941</v>
      </c>
      <c r="C34" s="126">
        <f ca="1">B34*(1+'All Expenses'!R33)</f>
        <v>67595.386299746984</v>
      </c>
      <c r="D34" s="126">
        <f ca="1">C34*Expectation!G33</f>
        <v>40557.231779848189</v>
      </c>
    </row>
    <row r="35" spans="1:4">
      <c r="A35">
        <v>32</v>
      </c>
      <c r="B35" s="22">
        <f t="shared" ca="1" si="0"/>
        <v>67595.386299746984</v>
      </c>
      <c r="C35" s="126">
        <f ca="1">B35*(1+'All Expenses'!R34)</f>
        <v>69518.118814429079</v>
      </c>
      <c r="D35" s="126">
        <f ca="1">C35*Expectation!G34</f>
        <v>41710.871288657443</v>
      </c>
    </row>
    <row r="36" spans="1:4">
      <c r="A36">
        <v>33</v>
      </c>
      <c r="B36" s="22">
        <f t="shared" ca="1" si="0"/>
        <v>69518.118814429079</v>
      </c>
      <c r="C36" s="126">
        <f ca="1">B36*(1+'All Expenses'!R35)</f>
        <v>71463.523941224266</v>
      </c>
      <c r="D36" s="126">
        <f ca="1">C36*Expectation!G35</f>
        <v>42878.11436473456</v>
      </c>
    </row>
    <row r="37" spans="1:4">
      <c r="A37">
        <v>34</v>
      </c>
      <c r="B37" s="22">
        <f t="shared" ca="1" si="0"/>
        <v>71463.523941224266</v>
      </c>
      <c r="C37" s="126">
        <f ca="1">B37*(1+'All Expenses'!R36)</f>
        <v>73430.454548045891</v>
      </c>
      <c r="D37" s="126">
        <f ca="1">C37*Expectation!G36</f>
        <v>44058.272728827535</v>
      </c>
    </row>
    <row r="38" spans="1:4">
      <c r="A38">
        <v>35</v>
      </c>
      <c r="B38" s="22">
        <f t="shared" ca="1" si="0"/>
        <v>73430.454548045891</v>
      </c>
      <c r="C38" s="126">
        <f ca="1">B38*(1+'All Expenses'!R37)</f>
        <v>74777.832907968957</v>
      </c>
      <c r="D38" s="126">
        <f ca="1">C38*Expectation!G37</f>
        <v>44866.69974478137</v>
      </c>
    </row>
  </sheetData>
  <phoneticPr fontId="2"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dimension ref="A1:D38"/>
  <sheetViews>
    <sheetView workbookViewId="0">
      <selection activeCell="F11" sqref="F11"/>
    </sheetView>
  </sheetViews>
  <sheetFormatPr defaultRowHeight="12.75"/>
  <cols>
    <col min="2" max="2" width="9.140625" style="22"/>
    <col min="3" max="3" width="11.85546875" customWidth="1"/>
    <col min="4" max="4" width="12.85546875" customWidth="1"/>
  </cols>
  <sheetData>
    <row r="1" spans="1:4">
      <c r="B1" s="27">
        <f>'Q&amp;A'!A38</f>
        <v>200</v>
      </c>
    </row>
    <row r="3" spans="1:4" ht="38.25">
      <c r="A3" s="1" t="s">
        <v>122</v>
      </c>
      <c r="B3" s="25" t="s">
        <v>239</v>
      </c>
      <c r="C3" s="124" t="s">
        <v>240</v>
      </c>
      <c r="D3" s="124" t="s">
        <v>241</v>
      </c>
    </row>
    <row r="4" spans="1:4">
      <c r="A4">
        <v>1</v>
      </c>
      <c r="B4" s="22">
        <f>B1</f>
        <v>200</v>
      </c>
      <c r="C4" s="126">
        <f ca="1">B4*(1+'All Expenses'!R3)</f>
        <v>209.47324903626642</v>
      </c>
      <c r="D4" s="127">
        <f ca="1">C4*Expectation!H3</f>
        <v>209.47324903626642</v>
      </c>
    </row>
    <row r="5" spans="1:4">
      <c r="A5">
        <v>2</v>
      </c>
      <c r="B5" s="22">
        <f ca="1">C4</f>
        <v>209.47324903626642</v>
      </c>
      <c r="C5" s="126">
        <f ca="1">B5*(1+'All Expenses'!R4)</f>
        <v>220.61794422947153</v>
      </c>
      <c r="D5" s="127">
        <f ca="1">C5*Expectation!H4</f>
        <v>132.37076653768293</v>
      </c>
    </row>
    <row r="6" spans="1:4">
      <c r="A6">
        <v>3</v>
      </c>
      <c r="B6" s="22">
        <f t="shared" ref="B6:B38" ca="1" si="0">C5</f>
        <v>220.61794422947153</v>
      </c>
      <c r="C6" s="126">
        <f ca="1">B6*(1+'All Expenses'!R5)</f>
        <v>233.64336298344318</v>
      </c>
      <c r="D6" s="127">
        <f ca="1">C6*Expectation!H5</f>
        <v>140.1860177900659</v>
      </c>
    </row>
    <row r="7" spans="1:4">
      <c r="A7">
        <v>4</v>
      </c>
      <c r="B7" s="22">
        <f t="shared" ca="1" si="0"/>
        <v>233.64336298344318</v>
      </c>
      <c r="C7" s="126">
        <f ca="1">B7*(1+'All Expenses'!R6)</f>
        <v>248.80162977587386</v>
      </c>
      <c r="D7" s="127">
        <f ca="1">C7*Expectation!H6</f>
        <v>124.40081488793693</v>
      </c>
    </row>
    <row r="8" spans="1:4">
      <c r="A8">
        <v>5</v>
      </c>
      <c r="B8" s="22">
        <f t="shared" ca="1" si="0"/>
        <v>248.80162977587386</v>
      </c>
      <c r="C8" s="126">
        <f ca="1">B8*(1+'All Expenses'!R7)</f>
        <v>268.62438061343227</v>
      </c>
      <c r="D8" s="127">
        <f ca="1">C8*Expectation!H7</f>
        <v>134.31219030671613</v>
      </c>
    </row>
    <row r="9" spans="1:4">
      <c r="A9">
        <v>6</v>
      </c>
      <c r="B9" s="22">
        <f t="shared" ca="1" si="0"/>
        <v>268.62438061343227</v>
      </c>
      <c r="C9" s="126">
        <f ca="1">B9*(1+'All Expenses'!R8)</f>
        <v>294.00079676085727</v>
      </c>
      <c r="D9" s="127">
        <f ca="1">C9*Expectation!H8</f>
        <v>147.00039838042863</v>
      </c>
    </row>
    <row r="10" spans="1:4">
      <c r="A10">
        <v>7</v>
      </c>
      <c r="B10" s="22">
        <f t="shared" ca="1" si="0"/>
        <v>294.00079676085727</v>
      </c>
      <c r="C10" s="126">
        <f ca="1">B10*(1+'All Expenses'!R9)</f>
        <v>326.1242489796204</v>
      </c>
      <c r="D10" s="127">
        <f ca="1">C10*Expectation!H9</f>
        <v>163.0621244898102</v>
      </c>
    </row>
    <row r="11" spans="1:4">
      <c r="A11">
        <v>8</v>
      </c>
      <c r="B11" s="22">
        <f t="shared" ca="1" si="0"/>
        <v>326.1242489796204</v>
      </c>
      <c r="C11" s="126">
        <f ca="1">B11*(1+'All Expenses'!R10)</f>
        <v>356.70694576392054</v>
      </c>
      <c r="D11" s="127">
        <f ca="1">C11*Expectation!H10</f>
        <v>178.35347288196027</v>
      </c>
    </row>
    <row r="12" spans="1:4">
      <c r="A12">
        <v>9</v>
      </c>
      <c r="B12" s="22">
        <f t="shared" ca="1" si="0"/>
        <v>356.70694576392054</v>
      </c>
      <c r="C12" s="126">
        <f ca="1">B12*(1+'All Expenses'!R11)</f>
        <v>384.6332748775061</v>
      </c>
      <c r="D12" s="127">
        <f ca="1">C12*Expectation!H11</f>
        <v>192.31663743875305</v>
      </c>
    </row>
    <row r="13" spans="1:4">
      <c r="A13">
        <v>10</v>
      </c>
      <c r="B13" s="22">
        <f t="shared" ca="1" si="0"/>
        <v>384.6332748775061</v>
      </c>
      <c r="C13" s="126">
        <f ca="1">B13*(1+'All Expenses'!R12)</f>
        <v>408.78914575761706</v>
      </c>
      <c r="D13" s="127">
        <f ca="1">C13*Expectation!H12</f>
        <v>204.39457287880853</v>
      </c>
    </row>
    <row r="14" spans="1:4">
      <c r="A14">
        <v>11</v>
      </c>
      <c r="B14" s="22">
        <f t="shared" ca="1" si="0"/>
        <v>408.78914575761706</v>
      </c>
      <c r="C14" s="126">
        <f ca="1">B14*(1+'All Expenses'!R13)</f>
        <v>435.2019069762033</v>
      </c>
      <c r="D14" s="127">
        <f ca="1">C14*Expectation!H13</f>
        <v>217.60095348810165</v>
      </c>
    </row>
    <row r="15" spans="1:4">
      <c r="A15">
        <v>12</v>
      </c>
      <c r="B15" s="22">
        <f t="shared" ca="1" si="0"/>
        <v>435.2019069762033</v>
      </c>
      <c r="C15" s="126">
        <f ca="1">B15*(1+'All Expenses'!R14)</f>
        <v>464.10890254957985</v>
      </c>
      <c r="D15" s="127">
        <f ca="1">C15*Expectation!H14</f>
        <v>232.05445127478993</v>
      </c>
    </row>
    <row r="16" spans="1:4">
      <c r="A16">
        <v>13</v>
      </c>
      <c r="B16" s="22">
        <f t="shared" ca="1" si="0"/>
        <v>464.10890254957985</v>
      </c>
      <c r="C16" s="126">
        <f ca="1">B16*(1+'All Expenses'!R15)</f>
        <v>495.77592478817002</v>
      </c>
      <c r="D16" s="127">
        <f ca="1">C16*Expectation!H15</f>
        <v>247.88796239408501</v>
      </c>
    </row>
    <row r="17" spans="1:4">
      <c r="A17">
        <v>14</v>
      </c>
      <c r="B17" s="22">
        <f t="shared" ca="1" si="0"/>
        <v>495.77592478817002</v>
      </c>
      <c r="C17" s="126">
        <f ca="1">B17*(1+'All Expenses'!R16)</f>
        <v>526.44737250209653</v>
      </c>
      <c r="D17" s="127">
        <f ca="1">C17*Expectation!H16</f>
        <v>263.22368625104826</v>
      </c>
    </row>
    <row r="18" spans="1:4">
      <c r="A18">
        <v>15</v>
      </c>
      <c r="B18" s="22">
        <f t="shared" ca="1" si="0"/>
        <v>526.44737250209653</v>
      </c>
      <c r="C18" s="126">
        <f ca="1">B18*(1+'All Expenses'!R17)</f>
        <v>555.66478643389348</v>
      </c>
      <c r="D18" s="127">
        <f ca="1">C18*Expectation!H17</f>
        <v>277.83239321694674</v>
      </c>
    </row>
    <row r="19" spans="1:4">
      <c r="A19">
        <v>16</v>
      </c>
      <c r="B19" s="22">
        <f t="shared" ca="1" si="0"/>
        <v>555.66478643389348</v>
      </c>
      <c r="C19" s="126">
        <f ca="1">B19*(1+'All Expenses'!R18)</f>
        <v>582.96619638220693</v>
      </c>
      <c r="D19" s="127">
        <f ca="1">C19*Expectation!H18</f>
        <v>291.48309819110347</v>
      </c>
    </row>
    <row r="20" spans="1:4">
      <c r="A20">
        <v>17</v>
      </c>
      <c r="B20" s="22">
        <f t="shared" ca="1" si="0"/>
        <v>582.96619638220693</v>
      </c>
      <c r="C20" s="126">
        <f ca="1">B20*(1+'All Expenses'!R19)</f>
        <v>618.21780785182807</v>
      </c>
      <c r="D20" s="127">
        <f ca="1">C20*Expectation!H19</f>
        <v>309.10890392591403</v>
      </c>
    </row>
    <row r="21" spans="1:4">
      <c r="A21">
        <v>18</v>
      </c>
      <c r="B21" s="22">
        <f t="shared" ca="1" si="0"/>
        <v>618.21780785182807</v>
      </c>
      <c r="C21" s="126">
        <f ca="1">B21*(1+'All Expenses'!R20)</f>
        <v>662.60949792414669</v>
      </c>
      <c r="D21" s="127">
        <f ca="1">C21*Expectation!H20</f>
        <v>331.30474896207335</v>
      </c>
    </row>
    <row r="22" spans="1:4">
      <c r="A22">
        <v>19</v>
      </c>
      <c r="B22" s="22">
        <f t="shared" ca="1" si="0"/>
        <v>662.60949792414669</v>
      </c>
      <c r="C22" s="126">
        <f ca="1">B22*(1+'All Expenses'!R21)</f>
        <v>717.70045566401654</v>
      </c>
      <c r="D22" s="127">
        <f ca="1">C22*Expectation!H21</f>
        <v>358.85022783200827</v>
      </c>
    </row>
    <row r="23" spans="1:4">
      <c r="A23">
        <v>20</v>
      </c>
      <c r="B23" s="22">
        <f t="shared" ca="1" si="0"/>
        <v>717.70045566401654</v>
      </c>
      <c r="C23" s="126">
        <f ca="1">B23*(1+'All Expenses'!R22)</f>
        <v>774.84040992112023</v>
      </c>
      <c r="D23" s="127">
        <f ca="1">C23*Expectation!H22</f>
        <v>387.42020496056011</v>
      </c>
    </row>
    <row r="24" spans="1:4">
      <c r="A24">
        <v>21</v>
      </c>
      <c r="B24" s="22">
        <f t="shared" ca="1" si="0"/>
        <v>774.84040992112023</v>
      </c>
      <c r="C24" s="126">
        <f ca="1">B24*(1+'All Expenses'!R23)</f>
        <v>833.79664291131189</v>
      </c>
      <c r="D24" s="127">
        <f ca="1">C24*Expectation!H23</f>
        <v>416.89832145565595</v>
      </c>
    </row>
    <row r="25" spans="1:4">
      <c r="A25">
        <v>22</v>
      </c>
      <c r="B25" s="22">
        <f t="shared" ca="1" si="0"/>
        <v>833.79664291131189</v>
      </c>
      <c r="C25" s="126">
        <f ca="1">B25*(1+'All Expenses'!R24)</f>
        <v>894.29786955704424</v>
      </c>
      <c r="D25" s="127">
        <f ca="1">C25*Expectation!H24</f>
        <v>447.14893477852212</v>
      </c>
    </row>
    <row r="26" spans="1:4">
      <c r="A26">
        <v>23</v>
      </c>
      <c r="B26" s="22">
        <f t="shared" ca="1" si="0"/>
        <v>894.29786955704424</v>
      </c>
      <c r="C26" s="126">
        <f ca="1">B26*(1+'All Expenses'!R25)</f>
        <v>949.20102939628896</v>
      </c>
      <c r="D26" s="127">
        <f ca="1">C26*Expectation!H25</f>
        <v>474.60051469814448</v>
      </c>
    </row>
    <row r="27" spans="1:4">
      <c r="A27">
        <v>24</v>
      </c>
      <c r="B27" s="22">
        <f t="shared" ca="1" si="0"/>
        <v>949.20102939628896</v>
      </c>
      <c r="C27" s="126">
        <f ca="1">B27*(1+'All Expenses'!R26)</f>
        <v>996.87353149755029</v>
      </c>
      <c r="D27" s="127">
        <f ca="1">C27*Expectation!H26</f>
        <v>498.43676574877514</v>
      </c>
    </row>
    <row r="28" spans="1:4">
      <c r="A28">
        <v>25</v>
      </c>
      <c r="B28" s="22">
        <f t="shared" ca="1" si="0"/>
        <v>996.87353149755029</v>
      </c>
      <c r="C28" s="126">
        <f ca="1">B28*(1+'All Expenses'!R27)</f>
        <v>1035.8065924468956</v>
      </c>
      <c r="D28" s="127">
        <f ca="1">C28*Expectation!H27</f>
        <v>517.9032962234478</v>
      </c>
    </row>
    <row r="29" spans="1:4">
      <c r="A29">
        <v>26</v>
      </c>
      <c r="B29" s="22">
        <f t="shared" ca="1" si="0"/>
        <v>1035.8065924468956</v>
      </c>
      <c r="C29" s="126">
        <f ca="1">B29*(1+'All Expenses'!R28)</f>
        <v>1078.276966646509</v>
      </c>
      <c r="D29" s="127">
        <f ca="1">C29*Expectation!H28</f>
        <v>539.13848332325449</v>
      </c>
    </row>
    <row r="30" spans="1:4">
      <c r="A30">
        <v>27</v>
      </c>
      <c r="B30" s="22">
        <f t="shared" ca="1" si="0"/>
        <v>1078.276966646509</v>
      </c>
      <c r="C30" s="126">
        <f ca="1">B30*(1+'All Expenses'!R29)</f>
        <v>1124.5881890637049</v>
      </c>
      <c r="D30" s="127">
        <f ca="1">C30*Expectation!H29</f>
        <v>562.29409453185247</v>
      </c>
    </row>
    <row r="31" spans="1:4">
      <c r="A31">
        <v>28</v>
      </c>
      <c r="B31" s="22">
        <f t="shared" ca="1" si="0"/>
        <v>1124.5881890637049</v>
      </c>
      <c r="C31" s="126">
        <f ca="1">B31*(1+'All Expenses'!R30)</f>
        <v>1175.0780843435689</v>
      </c>
      <c r="D31" s="127">
        <f ca="1">C31*Expectation!H30</f>
        <v>587.53904217178444</v>
      </c>
    </row>
    <row r="32" spans="1:4">
      <c r="A32">
        <v>29</v>
      </c>
      <c r="B32" s="22">
        <f t="shared" ca="1" si="0"/>
        <v>1175.0780843435689</v>
      </c>
      <c r="C32" s="126">
        <f ca="1">B32*(1+'All Expenses'!R31)</f>
        <v>1221.5712229432102</v>
      </c>
      <c r="D32" s="127">
        <f ca="1">C32*Expectation!H31</f>
        <v>610.78561147160508</v>
      </c>
    </row>
    <row r="33" spans="1:4">
      <c r="A33">
        <v>30</v>
      </c>
      <c r="B33" s="22">
        <f t="shared" ca="1" si="0"/>
        <v>1221.5712229432102</v>
      </c>
      <c r="C33" s="126">
        <f ca="1">B33*(1+'All Expenses'!R32)</f>
        <v>1263.3925164363645</v>
      </c>
      <c r="D33" s="127">
        <f ca="1">C33*Expectation!H32</f>
        <v>631.69625821818227</v>
      </c>
    </row>
    <row r="34" spans="1:4">
      <c r="A34">
        <v>31</v>
      </c>
      <c r="B34" s="22">
        <f t="shared" ca="1" si="0"/>
        <v>1263.3925164363645</v>
      </c>
      <c r="C34" s="126">
        <f ca="1">B34*(1+'All Expenses'!R33)</f>
        <v>1299.9112749951346</v>
      </c>
      <c r="D34" s="127">
        <f ca="1">C34*Expectation!H33</f>
        <v>649.9556374975673</v>
      </c>
    </row>
    <row r="35" spans="1:4">
      <c r="A35">
        <v>32</v>
      </c>
      <c r="B35" s="22">
        <f t="shared" ca="1" si="0"/>
        <v>1299.9112749951346</v>
      </c>
      <c r="C35" s="126">
        <f ca="1">B35*(1+'All Expenses'!R34)</f>
        <v>1336.8869002774827</v>
      </c>
      <c r="D35" s="127">
        <f ca="1">C35*Expectation!H34</f>
        <v>668.44345013874135</v>
      </c>
    </row>
    <row r="36" spans="1:4">
      <c r="A36">
        <v>33</v>
      </c>
      <c r="B36" s="22">
        <f t="shared" ca="1" si="0"/>
        <v>1336.8869002774827</v>
      </c>
      <c r="C36" s="126">
        <f ca="1">B36*(1+'All Expenses'!R35)</f>
        <v>1374.2985373312363</v>
      </c>
      <c r="D36" s="127">
        <f ca="1">C36*Expectation!H35</f>
        <v>687.14926866561814</v>
      </c>
    </row>
    <row r="37" spans="1:4">
      <c r="A37">
        <v>34</v>
      </c>
      <c r="B37" s="22">
        <f t="shared" ca="1" si="0"/>
        <v>1374.2985373312363</v>
      </c>
      <c r="C37" s="126">
        <f ca="1">B37*(1+'All Expenses'!R36)</f>
        <v>1412.12412592396</v>
      </c>
      <c r="D37" s="127">
        <f ca="1">C37*Expectation!H36</f>
        <v>706.06206296198002</v>
      </c>
    </row>
    <row r="38" spans="1:4">
      <c r="A38">
        <v>35</v>
      </c>
      <c r="B38" s="22">
        <f t="shared" ca="1" si="0"/>
        <v>1412.12412592396</v>
      </c>
      <c r="C38" s="126">
        <f ca="1">B38*(1+'All Expenses'!R37)</f>
        <v>1438.035248230173</v>
      </c>
      <c r="D38" s="127">
        <f ca="1">C38*Expectation!H37</f>
        <v>719.01762411508651</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3"/>
  </sheetPr>
  <dimension ref="A3:H38"/>
  <sheetViews>
    <sheetView workbookViewId="0">
      <selection activeCell="C8" sqref="C8"/>
    </sheetView>
  </sheetViews>
  <sheetFormatPr defaultRowHeight="12.75"/>
  <cols>
    <col min="1" max="1" width="6" customWidth="1"/>
    <col min="2" max="2" width="5.5703125" customWidth="1"/>
    <col min="3" max="4" width="10.140625" bestFit="1" customWidth="1"/>
    <col min="5" max="5" width="11.7109375" bestFit="1" customWidth="1"/>
    <col min="6" max="6" width="12.85546875" customWidth="1"/>
    <col min="7" max="7" width="2.28515625" customWidth="1"/>
  </cols>
  <sheetData>
    <row r="3" spans="1:8" s="63" customFormat="1" ht="11.25">
      <c r="A3" s="63" t="s">
        <v>168</v>
      </c>
      <c r="B3" s="64" t="s">
        <v>138</v>
      </c>
      <c r="C3" s="64" t="s">
        <v>149</v>
      </c>
      <c r="D3" s="64" t="s">
        <v>150</v>
      </c>
      <c r="E3" s="64" t="s">
        <v>146</v>
      </c>
      <c r="F3" s="81" t="s">
        <v>185</v>
      </c>
      <c r="G3" s="64"/>
      <c r="H3" s="64"/>
    </row>
    <row r="4" spans="1:8">
      <c r="A4" s="23">
        <f>'Q&amp;A'!A4</f>
        <v>64</v>
      </c>
      <c r="B4" s="48">
        <v>1</v>
      </c>
      <c r="C4" s="49">
        <f ca="1">'All Income'!K3</f>
        <v>73344.804905259167</v>
      </c>
      <c r="D4" s="49">
        <f ca="1">'All Expenses'!O3</f>
        <v>67687.222673827418</v>
      </c>
      <c r="E4" s="78">
        <f ca="1">Worth!G3+C4-D4</f>
        <v>725716.68762365286</v>
      </c>
      <c r="F4" s="78">
        <f>Cash!E3</f>
        <v>25000</v>
      </c>
      <c r="G4" s="48"/>
      <c r="H4" s="48"/>
    </row>
    <row r="5" spans="1:8">
      <c r="A5">
        <f>A4+1</f>
        <v>65</v>
      </c>
      <c r="B5" s="48">
        <v>2</v>
      </c>
      <c r="C5" s="49">
        <f ca="1">'All Income'!K4</f>
        <v>75914.540668024172</v>
      </c>
      <c r="D5" s="49">
        <f ca="1">'All Expenses'!O4</f>
        <v>95310.640263593741</v>
      </c>
      <c r="E5" s="78">
        <f ca="1">Worth!G4+C5-D5</f>
        <v>719349.76279780827</v>
      </c>
      <c r="F5" s="78">
        <f ca="1">Cash!E4</f>
        <v>30657.582231431748</v>
      </c>
      <c r="G5" s="48"/>
      <c r="H5" s="48"/>
    </row>
    <row r="6" spans="1:8">
      <c r="A6">
        <f t="shared" ref="A6:A38" si="0">A5+1</f>
        <v>66</v>
      </c>
      <c r="B6" s="48">
        <v>3</v>
      </c>
      <c r="C6" s="49">
        <f ca="1">'All Income'!K5</f>
        <v>78749.01892737727</v>
      </c>
      <c r="D6" s="49">
        <f ca="1">'All Expenses'!O5</f>
        <v>88368.144117815697</v>
      </c>
      <c r="E6" s="78">
        <f ca="1">Worth!G5+C6-D6</f>
        <v>743082.83978286153</v>
      </c>
      <c r="F6" s="78">
        <f ca="1">Cash!E5</f>
        <v>11261.482635862179</v>
      </c>
      <c r="G6" s="48"/>
      <c r="H6" s="48"/>
    </row>
    <row r="7" spans="1:8">
      <c r="A7">
        <f t="shared" si="0"/>
        <v>67</v>
      </c>
      <c r="B7" s="48">
        <v>4</v>
      </c>
      <c r="C7" s="49">
        <f ca="1">'All Income'!K6</f>
        <v>81890.183237368459</v>
      </c>
      <c r="D7" s="49">
        <f ca="1">'All Expenses'!O6</f>
        <v>93913.350299860045</v>
      </c>
      <c r="E7" s="78">
        <f ca="1">Worth!G6+C7-D7</f>
        <v>748555.20074352354</v>
      </c>
      <c r="F7" s="78">
        <f ca="1">Cash!E6</f>
        <v>1642.3574454237532</v>
      </c>
      <c r="G7" s="48"/>
      <c r="H7" s="48"/>
    </row>
    <row r="8" spans="1:8">
      <c r="A8">
        <f t="shared" si="0"/>
        <v>68</v>
      </c>
      <c r="B8" s="48">
        <v>5</v>
      </c>
      <c r="C8" s="49">
        <f ca="1">'All Income'!K7</f>
        <v>85772.756754433183</v>
      </c>
      <c r="D8" s="49">
        <f ca="1">'All Expenses'!O7</f>
        <v>101139.17824875202</v>
      </c>
      <c r="E8" s="78">
        <f ca="1">Worth!G7+C8-D8</f>
        <v>752688.60556584026</v>
      </c>
      <c r="F8" s="78">
        <f ca="1">Cash!E7</f>
        <v>-10380.809617067833</v>
      </c>
      <c r="G8" s="48"/>
      <c r="H8" s="48"/>
    </row>
    <row r="9" spans="1:8">
      <c r="A9">
        <f t="shared" si="0"/>
        <v>69</v>
      </c>
      <c r="B9" s="48">
        <v>6</v>
      </c>
      <c r="C9" s="49">
        <f ca="1">'All Income'!K8</f>
        <v>90767.344141299138</v>
      </c>
      <c r="D9" s="49">
        <f ca="1">'All Expenses'!O8</f>
        <v>106395.50112482265</v>
      </c>
      <c r="E9" s="78">
        <f ca="1">Worth!G8+C9-D9</f>
        <v>760753.67376829602</v>
      </c>
      <c r="F9" s="78">
        <f ca="1">Cash!E8</f>
        <v>-25747.231111386674</v>
      </c>
      <c r="G9" s="48"/>
      <c r="H9" s="48"/>
    </row>
    <row r="10" spans="1:8">
      <c r="A10">
        <f t="shared" si="0"/>
        <v>70</v>
      </c>
      <c r="B10" s="48">
        <v>7</v>
      </c>
      <c r="C10" s="49">
        <f ca="1">'All Income'!K9</f>
        <v>97122.141718322411</v>
      </c>
      <c r="D10" s="49">
        <f ca="1">'All Expenses'!O9</f>
        <v>122120.94310786181</v>
      </c>
      <c r="E10" s="78">
        <f ca="1">Worth!G9+C10-D10</f>
        <v>752204.36638450401</v>
      </c>
      <c r="F10" s="78">
        <f ca="1">Cash!E9</f>
        <v>-41375.388094910188</v>
      </c>
      <c r="G10" s="48"/>
      <c r="H10" s="48"/>
    </row>
    <row r="11" spans="1:8">
      <c r="A11">
        <f t="shared" si="0"/>
        <v>71</v>
      </c>
      <c r="B11" s="48">
        <v>8</v>
      </c>
      <c r="C11" s="49">
        <f ca="1">'All Income'!K10</f>
        <v>103892.57048544401</v>
      </c>
      <c r="D11" s="49">
        <f ca="1">'All Expenses'!O10</f>
        <v>117340.94458179754</v>
      </c>
      <c r="E11" s="78">
        <f ca="1">Worth!G10+C11-D11</f>
        <v>766276.05247098766</v>
      </c>
      <c r="F11" s="78">
        <f ca="1">Cash!E10</f>
        <v>-66374.189484449584</v>
      </c>
      <c r="G11" s="48"/>
      <c r="H11" s="48"/>
    </row>
    <row r="12" spans="1:8">
      <c r="A12">
        <f t="shared" si="0"/>
        <v>72</v>
      </c>
      <c r="B12" s="48">
        <v>9</v>
      </c>
      <c r="C12" s="49">
        <f ca="1">'All Income'!K11</f>
        <v>110065.2881231377</v>
      </c>
      <c r="D12" s="49">
        <f ca="1">'All Expenses'!O11</f>
        <v>126434.16984404364</v>
      </c>
      <c r="E12" s="78">
        <f ca="1">Worth!G11+C12-D12</f>
        <v>764662.20377763791</v>
      </c>
      <c r="F12" s="78">
        <f ca="1">Cash!E11</f>
        <v>-79822.563580803107</v>
      </c>
      <c r="G12" s="48"/>
      <c r="H12" s="48"/>
    </row>
    <row r="13" spans="1:8">
      <c r="A13">
        <f t="shared" si="0"/>
        <v>73</v>
      </c>
      <c r="B13" s="48">
        <v>10</v>
      </c>
      <c r="C13" s="49">
        <f ca="1">'All Income'!K12</f>
        <v>115388.38525566718</v>
      </c>
      <c r="D13" s="49">
        <f ca="1">'All Expenses'!O12</f>
        <v>154735.08190721576</v>
      </c>
      <c r="E13" s="78">
        <f ca="1">Worth!G12+C13-D13</f>
        <v>734616.00276418589</v>
      </c>
      <c r="F13" s="78">
        <f ca="1">Cash!E12</f>
        <v>-96191.445301709056</v>
      </c>
      <c r="G13" s="48"/>
      <c r="H13" s="48"/>
    </row>
    <row r="14" spans="1:8">
      <c r="A14">
        <f t="shared" si="0"/>
        <v>74</v>
      </c>
      <c r="B14" s="48">
        <v>11</v>
      </c>
      <c r="C14" s="49">
        <f ca="1">'All Income'!K13</f>
        <v>120643.63606709382</v>
      </c>
      <c r="D14" s="49">
        <f ca="1">'All Expenses'!O13</f>
        <v>147102.30034207989</v>
      </c>
      <c r="E14" s="78">
        <f ca="1">Worth!G13+C14-D14</f>
        <v>747453.41298723547</v>
      </c>
      <c r="F14" s="78">
        <f ca="1">Cash!E13</f>
        <v>-135538.14195325764</v>
      </c>
      <c r="G14" s="48"/>
      <c r="H14" s="48"/>
    </row>
    <row r="15" spans="1:8">
      <c r="A15">
        <f t="shared" si="0"/>
        <v>75</v>
      </c>
      <c r="B15" s="48">
        <v>12</v>
      </c>
      <c r="C15" s="49">
        <f ca="1">'All Income'!K14</f>
        <v>126479.23821843651</v>
      </c>
      <c r="D15" s="49">
        <f ca="1">'All Expenses'!O14</f>
        <v>156665.44558198439</v>
      </c>
      <c r="E15" s="78">
        <f ca="1">Worth!G14+C15-D15</f>
        <v>747917.21224837168</v>
      </c>
      <c r="F15" s="78">
        <f ca="1">Cash!E14</f>
        <v>-161996.80622824372</v>
      </c>
      <c r="G15" s="48"/>
      <c r="H15" s="48"/>
    </row>
    <row r="16" spans="1:8">
      <c r="A16">
        <f t="shared" si="0"/>
        <v>76</v>
      </c>
      <c r="B16" s="48">
        <v>13</v>
      </c>
      <c r="C16" s="49">
        <f ca="1">'All Income'!K15</f>
        <v>132944.24768386054</v>
      </c>
      <c r="D16" s="49">
        <f ca="1">'All Expenses'!O15</f>
        <v>156238.6148837677</v>
      </c>
      <c r="E16" s="78">
        <f ca="1">Worth!G15+C16-D16</f>
        <v>767056.9678945085</v>
      </c>
      <c r="F16" s="78">
        <f ca="1">Cash!E15</f>
        <v>-192183.01359179159</v>
      </c>
      <c r="G16" s="48"/>
      <c r="H16" s="48"/>
    </row>
    <row r="17" spans="1:8">
      <c r="A17">
        <f t="shared" si="0"/>
        <v>77</v>
      </c>
      <c r="B17" s="48">
        <v>14</v>
      </c>
      <c r="C17" s="49">
        <f ca="1">'All Income'!K16</f>
        <v>139641.85492921193</v>
      </c>
      <c r="D17" s="49">
        <f ca="1">'All Expenses'!O16</f>
        <v>165836.29496535644</v>
      </c>
      <c r="E17" s="78">
        <f ca="1">Worth!G16+C17-D17</f>
        <v>766739.85407063435</v>
      </c>
      <c r="F17" s="78">
        <f ca="1">Cash!E16</f>
        <v>-215477.38079169876</v>
      </c>
      <c r="G17" s="48"/>
      <c r="H17" s="48"/>
    </row>
    <row r="18" spans="1:8">
      <c r="A18">
        <f t="shared" si="0"/>
        <v>78</v>
      </c>
      <c r="B18" s="48">
        <v>15</v>
      </c>
      <c r="C18" s="49">
        <f ca="1">'All Income'!K17</f>
        <v>146107.68631442951</v>
      </c>
      <c r="D18" s="49">
        <f ca="1">'All Expenses'!O17</f>
        <v>192591.9404947623</v>
      </c>
      <c r="E18" s="78">
        <f ca="1">Worth!G17+C18-D18</f>
        <v>765750.59197172557</v>
      </c>
      <c r="F18" s="78">
        <f ca="1">Cash!E17</f>
        <v>-241671.82082784327</v>
      </c>
      <c r="G18" s="48"/>
      <c r="H18" s="48"/>
    </row>
    <row r="19" spans="1:8">
      <c r="A19">
        <f t="shared" si="0"/>
        <v>79</v>
      </c>
      <c r="B19" s="48">
        <v>16</v>
      </c>
      <c r="C19" s="49">
        <f ca="1">'All Income'!K18</f>
        <v>152261.76706624945</v>
      </c>
      <c r="D19" s="49">
        <f ca="1">'All Expenses'!O18</f>
        <v>190254.49223122874</v>
      </c>
      <c r="E19" s="78">
        <f ca="1">Worth!G18+C19-D19</f>
        <v>782140.52628705895</v>
      </c>
      <c r="F19" s="78">
        <f ca="1">Cash!E18</f>
        <v>-288156.07500817603</v>
      </c>
      <c r="G19" s="48"/>
      <c r="H19" s="48"/>
    </row>
    <row r="20" spans="1:8">
      <c r="A20">
        <f t="shared" si="0"/>
        <v>80</v>
      </c>
      <c r="B20" s="48">
        <v>17</v>
      </c>
      <c r="C20" s="49">
        <f ca="1">'All Income'!K19</f>
        <v>159366.57679075032</v>
      </c>
      <c r="D20" s="49">
        <f ca="1">'All Expenses'!O19</f>
        <v>201350.29945617207</v>
      </c>
      <c r="E20" s="78">
        <f ca="1">Worth!G19+C20-D20</f>
        <v>795562.28958798747</v>
      </c>
      <c r="F20" s="78">
        <f ca="1">Cash!E19</f>
        <v>-326148.80017315532</v>
      </c>
      <c r="G20" s="48"/>
      <c r="H20" s="48"/>
    </row>
    <row r="21" spans="1:8">
      <c r="A21">
        <f t="shared" si="0"/>
        <v>81</v>
      </c>
      <c r="B21" s="48">
        <v>18</v>
      </c>
      <c r="C21" s="49">
        <f ca="1">'All Income'!K20</f>
        <v>168575.64679704051</v>
      </c>
      <c r="D21" s="49">
        <f ca="1">'All Expenses'!O20</f>
        <v>200011.37686478923</v>
      </c>
      <c r="E21" s="78">
        <f ca="1">Worth!G20+C21-D21</f>
        <v>824516.30124380253</v>
      </c>
      <c r="F21" s="78">
        <f ca="1">Cash!E20</f>
        <v>-368132.52283857705</v>
      </c>
      <c r="G21" s="48"/>
      <c r="H21" s="48"/>
    </row>
    <row r="22" spans="1:8">
      <c r="A22">
        <f t="shared" si="0"/>
        <v>82</v>
      </c>
      <c r="B22" s="48">
        <v>19</v>
      </c>
      <c r="C22" s="49">
        <f ca="1">'All Income'!K21</f>
        <v>180181.0908562445</v>
      </c>
      <c r="D22" s="49">
        <f ca="1">'All Expenses'!O21</f>
        <v>216213.25951057835</v>
      </c>
      <c r="E22" s="78">
        <f ca="1">Worth!G21+C22-D22</f>
        <v>850733.77553175017</v>
      </c>
      <c r="F22" s="78">
        <f ca="1">Cash!E21</f>
        <v>-399568.25290632574</v>
      </c>
      <c r="G22" s="48"/>
      <c r="H22" s="48"/>
    </row>
    <row r="23" spans="1:8">
      <c r="A23">
        <f t="shared" si="0"/>
        <v>83</v>
      </c>
      <c r="B23" s="48">
        <v>20</v>
      </c>
      <c r="C23" s="49">
        <f ca="1">'All Income'!K22</f>
        <v>192983.63548105385</v>
      </c>
      <c r="D23" s="49">
        <f ca="1">'All Expenses'!O22</f>
        <v>240980.47112999615</v>
      </c>
      <c r="E23" s="78">
        <f ca="1">Worth!G22+C23-D23</f>
        <v>871000.09891066619</v>
      </c>
      <c r="F23" s="78">
        <f ca="1">Cash!E22</f>
        <v>-435600.4215606596</v>
      </c>
      <c r="G23" s="48"/>
      <c r="H23" s="48"/>
    </row>
    <row r="24" spans="1:8">
      <c r="A24">
        <f t="shared" si="0"/>
        <v>84</v>
      </c>
      <c r="B24" s="48">
        <v>21</v>
      </c>
      <c r="C24" s="49">
        <f ca="1">'All Income'!K23</f>
        <v>206028.86231618191</v>
      </c>
      <c r="D24" s="49">
        <f ca="1">'All Expenses'!O23</f>
        <v>259083.81476108564</v>
      </c>
      <c r="E24" s="78">
        <f ca="1">Worth!G23+C24-D24</f>
        <v>892770.31538350671</v>
      </c>
      <c r="F24" s="78">
        <f ca="1">Cash!E23</f>
        <v>-483597.25720960193</v>
      </c>
      <c r="G24" s="48"/>
      <c r="H24" s="48"/>
    </row>
    <row r="25" spans="1:8">
      <c r="A25">
        <f t="shared" si="0"/>
        <v>85</v>
      </c>
      <c r="B25" s="48">
        <v>22</v>
      </c>
      <c r="C25" s="49">
        <f ca="1">'All Income'!K24</f>
        <v>219247.73402025906</v>
      </c>
      <c r="D25" s="49">
        <f ca="1">'All Expenses'!O24</f>
        <v>272996.3782030032</v>
      </c>
      <c r="E25" s="78">
        <f ca="1">Worth!G24+C25-D25</f>
        <v>935578.2544008249</v>
      </c>
      <c r="F25" s="78">
        <f ca="1">Cash!E24</f>
        <v>-536652.2096545056</v>
      </c>
      <c r="G25" s="48"/>
      <c r="H25" s="48"/>
    </row>
    <row r="26" spans="1:8">
      <c r="A26">
        <f t="shared" si="0"/>
        <v>86</v>
      </c>
      <c r="B26" s="48">
        <v>23</v>
      </c>
      <c r="C26" s="49">
        <f ca="1">'All Income'!K25</f>
        <v>231755.95291437936</v>
      </c>
      <c r="D26" s="49">
        <f ca="1">'All Expenses'!O25</f>
        <v>283198.06428860332</v>
      </c>
      <c r="E26" s="78">
        <f ca="1">Worth!G25+C26-D26</f>
        <v>949598.87615631358</v>
      </c>
      <c r="F26" s="78">
        <f ca="1">Cash!E25</f>
        <v>-590400.8538372498</v>
      </c>
      <c r="G26" s="48"/>
      <c r="H26" s="48"/>
    </row>
    <row r="27" spans="1:8">
      <c r="A27">
        <f t="shared" si="0"/>
        <v>87</v>
      </c>
      <c r="B27" s="48">
        <v>24</v>
      </c>
      <c r="C27" s="49">
        <f ca="1">'All Income'!K26</f>
        <v>242605.41652756371</v>
      </c>
      <c r="D27" s="49">
        <f ca="1">'All Expenses'!O26</f>
        <v>297643.38944947469</v>
      </c>
      <c r="E27" s="78">
        <f ca="1">Worth!G26+C27-D27</f>
        <v>973230.88251334219</v>
      </c>
      <c r="F27" s="78">
        <f ca="1">Cash!E26</f>
        <v>-641842.96521147375</v>
      </c>
      <c r="G27" s="48"/>
      <c r="H27" s="48"/>
    </row>
    <row r="28" spans="1:8">
      <c r="A28">
        <f t="shared" si="0"/>
        <v>88</v>
      </c>
      <c r="B28" s="48">
        <v>25</v>
      </c>
      <c r="C28" s="49">
        <f ca="1">'All Income'!K27</f>
        <v>251460.94574585417</v>
      </c>
      <c r="D28" s="49">
        <f ca="1">'All Expenses'!O27</f>
        <v>309438.91714084952</v>
      </c>
      <c r="E28" s="78">
        <f ca="1">Worth!G27+C28-D28</f>
        <v>996571.41052154906</v>
      </c>
      <c r="F28" s="78">
        <f ca="1">Cash!E27</f>
        <v>-696880.9381333848</v>
      </c>
      <c r="G28" s="48"/>
      <c r="H28" s="48"/>
    </row>
    <row r="29" spans="1:8">
      <c r="A29">
        <f t="shared" si="0"/>
        <v>89</v>
      </c>
      <c r="B29" s="48">
        <v>26</v>
      </c>
      <c r="C29" s="49">
        <f ca="1">'All Income'!K28</f>
        <v>259846.37375628186</v>
      </c>
      <c r="D29" s="49">
        <f ca="1">'All Expenses'!O28</f>
        <v>321885.49432645744</v>
      </c>
      <c r="E29" s="78">
        <f ca="1">Worth!G28+C29-D29</f>
        <v>1015337.616507658</v>
      </c>
      <c r="F29" s="78">
        <f ca="1">Cash!E28</f>
        <v>-754858.90952838014</v>
      </c>
      <c r="G29" s="48"/>
      <c r="H29" s="48"/>
    </row>
    <row r="30" spans="1:8">
      <c r="A30">
        <f t="shared" si="0"/>
        <v>90</v>
      </c>
      <c r="B30" s="48">
        <v>27</v>
      </c>
      <c r="C30" s="49">
        <f ca="1">'All Income'!K29</f>
        <v>269078.51427029638</v>
      </c>
      <c r="D30" s="49">
        <f ca="1">'All Expenses'!O29</f>
        <v>335486.8512389129</v>
      </c>
      <c r="E30" s="78">
        <f ca="1">Worth!G29+C30-D30</f>
        <v>1028678.2898128973</v>
      </c>
      <c r="F30" s="78">
        <f ca="1">Cash!E29</f>
        <v>-816898.03009855573</v>
      </c>
      <c r="G30" s="48"/>
      <c r="H30" s="48"/>
    </row>
    <row r="31" spans="1:8">
      <c r="A31">
        <f t="shared" si="0"/>
        <v>91</v>
      </c>
      <c r="B31" s="48">
        <v>28</v>
      </c>
      <c r="C31" s="49">
        <f ca="1">'All Income'!K30</f>
        <v>279232.09114573349</v>
      </c>
      <c r="D31" s="49">
        <f ca="1">'All Expenses'!O30</f>
        <v>350344.64009270148</v>
      </c>
      <c r="E31" s="78">
        <f ca="1">Worth!G30+C31-D31</f>
        <v>1048740.3681963019</v>
      </c>
      <c r="F31" s="78">
        <f ca="1">Cash!E30</f>
        <v>-883306.36706717219</v>
      </c>
      <c r="G31" s="48"/>
      <c r="H31" s="48"/>
    </row>
    <row r="32" spans="1:8">
      <c r="A32">
        <f t="shared" si="0"/>
        <v>92</v>
      </c>
      <c r="B32" s="48">
        <v>29</v>
      </c>
      <c r="C32" s="49">
        <f ca="1">'All Income'!K31</f>
        <v>289362.70034932432</v>
      </c>
      <c r="D32" s="49">
        <f ca="1">'All Expenses'!O31</f>
        <v>364283.95430832927</v>
      </c>
      <c r="E32" s="78">
        <f ca="1">Worth!G31+C32-D32</f>
        <v>1060067.1698654988</v>
      </c>
      <c r="F32" s="78">
        <f ca="1">Cash!E31</f>
        <v>-954418.91601414024</v>
      </c>
      <c r="G32" s="48"/>
      <c r="H32" s="48"/>
    </row>
    <row r="33" spans="1:8">
      <c r="A33">
        <f t="shared" si="0"/>
        <v>93</v>
      </c>
      <c r="B33" s="48">
        <v>30</v>
      </c>
      <c r="C33" s="49">
        <f ca="1">'All Income'!K32</f>
        <v>298535.12789156521</v>
      </c>
      <c r="D33" s="49">
        <f ca="1">'All Expenses'!O32</f>
        <v>383411.95342321828</v>
      </c>
      <c r="E33" s="78">
        <f ca="1">Worth!G32+C33-D33</f>
        <v>1071338.2922973782</v>
      </c>
      <c r="F33" s="78">
        <f ca="1">Cash!E32</f>
        <v>-1029340.1699731452</v>
      </c>
      <c r="G33" s="48"/>
      <c r="H33" s="48"/>
    </row>
    <row r="34" spans="1:8">
      <c r="A34">
        <f t="shared" si="0"/>
        <v>94</v>
      </c>
      <c r="B34" s="48">
        <v>31</v>
      </c>
      <c r="C34" s="49">
        <f ca="1">'All Income'!K33</f>
        <v>306618.94413489965</v>
      </c>
      <c r="D34" s="49">
        <f ca="1">'All Expenses'!O33</f>
        <v>394592.47104634962</v>
      </c>
      <c r="E34" s="78">
        <f ca="1">Worth!G33+C34-D34</f>
        <v>1094909.2428257051</v>
      </c>
      <c r="F34" s="78">
        <f ca="1">Cash!E33</f>
        <v>-1114216.9955047984</v>
      </c>
      <c r="G34" s="48"/>
      <c r="H34" s="48"/>
    </row>
    <row r="35" spans="1:8">
      <c r="A35">
        <f t="shared" si="0"/>
        <v>95</v>
      </c>
      <c r="B35" s="48">
        <v>32</v>
      </c>
      <c r="C35" s="49">
        <f ca="1">'All Income'!K34</f>
        <v>313917.68247399176</v>
      </c>
      <c r="D35" s="49">
        <f ca="1">'All Expenses'!O34</f>
        <v>405620.41045379988</v>
      </c>
      <c r="E35" s="78">
        <f ca="1">Worth!G34+C35-D35</f>
        <v>1121638.8722602455</v>
      </c>
      <c r="F35" s="78">
        <f ca="1">Cash!E34</f>
        <v>-1202190.5224162485</v>
      </c>
      <c r="G35" s="48"/>
      <c r="H35" s="48"/>
    </row>
    <row r="36" spans="1:8">
      <c r="A36">
        <f t="shared" si="0"/>
        <v>96</v>
      </c>
      <c r="B36" s="48">
        <v>33</v>
      </c>
      <c r="C36" s="49">
        <f ca="1">'All Income'!K35</f>
        <v>321011.81370956451</v>
      </c>
      <c r="D36" s="49">
        <f ca="1">'All Expenses'!O35</f>
        <v>416682.46707340947</v>
      </c>
      <c r="E36" s="78">
        <f ca="1">Worth!G35+C36-D36</f>
        <v>1126331.5130163282</v>
      </c>
      <c r="F36" s="78">
        <f ca="1">Cash!E35</f>
        <v>-1293893.2503960566</v>
      </c>
      <c r="G36" s="48"/>
      <c r="H36" s="48"/>
    </row>
    <row r="37" spans="1:8">
      <c r="A37">
        <f t="shared" si="0"/>
        <v>97</v>
      </c>
      <c r="B37" s="48">
        <v>34</v>
      </c>
      <c r="C37" s="49">
        <f ca="1">'All Income'!K36</f>
        <v>327900.74774182937</v>
      </c>
      <c r="D37" s="49">
        <f ca="1">'All Expenses'!O36</f>
        <v>427773.30374064663</v>
      </c>
      <c r="E37" s="78">
        <f ca="1">Worth!G36+C37-D37</f>
        <v>1136534.9479936005</v>
      </c>
      <c r="F37" s="78">
        <f ca="1">Cash!E36</f>
        <v>-1389563.9037599014</v>
      </c>
      <c r="G37" s="48"/>
      <c r="H37" s="48"/>
    </row>
    <row r="38" spans="1:8">
      <c r="A38">
        <f t="shared" si="0"/>
        <v>98</v>
      </c>
      <c r="B38" s="48">
        <v>35</v>
      </c>
      <c r="C38" s="49">
        <f ca="1">'All Income'!K37</f>
        <v>333315.70698416868</v>
      </c>
      <c r="D38" s="49">
        <f ca="1">'All Expenses'!O37</f>
        <v>435600.36020175793</v>
      </c>
      <c r="E38" s="78">
        <f ca="1">Worth!G37+C38-D38</f>
        <v>1138797.81519362</v>
      </c>
      <c r="F38" s="78">
        <f ca="1">Cash!E37</f>
        <v>-1489436.4597587187</v>
      </c>
      <c r="G38" s="48"/>
      <c r="H38" s="48"/>
    </row>
  </sheetData>
  <phoneticPr fontId="2" type="noConversion"/>
  <pageMargins left="0.75" right="0.75" top="1" bottom="1" header="0.5" footer="0.5"/>
  <headerFooter alignWithMargins="0"/>
  <drawing r:id="rId1"/>
</worksheet>
</file>

<file path=xl/worksheets/sheet20.xml><?xml version="1.0" encoding="utf-8"?>
<worksheet xmlns="http://schemas.openxmlformats.org/spreadsheetml/2006/main" xmlns:r="http://schemas.openxmlformats.org/officeDocument/2006/relationships">
  <dimension ref="A1:M38"/>
  <sheetViews>
    <sheetView workbookViewId="0">
      <selection activeCell="D4" sqref="D4"/>
    </sheetView>
  </sheetViews>
  <sheetFormatPr defaultRowHeight="12.75"/>
  <cols>
    <col min="2" max="3" width="10.5703125" customWidth="1"/>
    <col min="6" max="6" width="11.7109375" customWidth="1"/>
    <col min="9" max="9" width="11" customWidth="1"/>
    <col min="11" max="11" width="11.42578125" customWidth="1"/>
    <col min="12" max="12" width="8.140625" customWidth="1"/>
    <col min="13" max="13" width="10.140625" customWidth="1"/>
    <col min="16" max="16" width="11.85546875" customWidth="1"/>
    <col min="17" max="17" width="6.7109375" customWidth="1"/>
  </cols>
  <sheetData>
    <row r="1" spans="1:13">
      <c r="I1" s="153" t="s">
        <v>233</v>
      </c>
      <c r="J1" s="153"/>
      <c r="K1" s="153"/>
      <c r="L1" s="153"/>
      <c r="M1" s="153"/>
    </row>
    <row r="2" spans="1:13" s="65" customFormat="1" ht="45" customHeight="1">
      <c r="G2"/>
      <c r="I2" s="83" t="s">
        <v>192</v>
      </c>
      <c r="J2" s="83" t="s">
        <v>193</v>
      </c>
      <c r="K2" s="86" t="s">
        <v>194</v>
      </c>
      <c r="L2" s="91" t="s">
        <v>196</v>
      </c>
      <c r="M2" s="87" t="s">
        <v>171</v>
      </c>
    </row>
    <row r="3" spans="1:13" ht="38.25">
      <c r="A3" s="1" t="s">
        <v>122</v>
      </c>
      <c r="B3" s="1" t="s">
        <v>174</v>
      </c>
      <c r="C3" s="1" t="s">
        <v>175</v>
      </c>
      <c r="D3" s="1" t="s">
        <v>173</v>
      </c>
      <c r="E3" t="s">
        <v>170</v>
      </c>
      <c r="F3" s="1" t="s">
        <v>236</v>
      </c>
      <c r="I3" s="84">
        <v>0</v>
      </c>
      <c r="J3" s="84">
        <v>15650</v>
      </c>
      <c r="K3" s="90">
        <v>0</v>
      </c>
      <c r="L3" s="92">
        <v>0.1</v>
      </c>
      <c r="M3" s="88">
        <v>0</v>
      </c>
    </row>
    <row r="4" spans="1:13">
      <c r="A4">
        <v>1</v>
      </c>
      <c r="B4" s="22">
        <f ca="1">IF('All Income'!K3&gt;225750,3300-(('All Income'!K3-225750)/2500)*0.02,3300)</f>
        <v>3300</v>
      </c>
      <c r="C4" s="22">
        <f>H12</f>
        <v>10700</v>
      </c>
      <c r="D4" s="22">
        <f ca="1">'All Income'!K3-Tax!B4-Tax!C4</f>
        <v>59344.804905259167</v>
      </c>
      <c r="E4" s="22">
        <f ca="1">IF(D4&gt;$M$7,$K$7+$L$7*(D4-$M$7),IF(D4&gt;$M$6,$K$6+$L$6*(D4-$M$6),IF(D4&gt;$M$5,$K$5+$L$5*(D4-$M$5),IF(D4&gt;$M$4,$K$4+$L$4*(D4-$M$4),IF(D4&gt;0,D4*0.1,0)))))</f>
        <v>8119.2207357888747</v>
      </c>
      <c r="F4" s="22">
        <f ca="1">D4*0.28</f>
        <v>16616.545373472567</v>
      </c>
      <c r="I4" s="84">
        <f>J3</f>
        <v>15650</v>
      </c>
      <c r="J4" s="84">
        <v>63700</v>
      </c>
      <c r="K4" s="89">
        <f>J3*L3</f>
        <v>1565</v>
      </c>
      <c r="L4" s="92">
        <v>0.15</v>
      </c>
      <c r="M4" s="88">
        <f>J3</f>
        <v>15650</v>
      </c>
    </row>
    <row r="5" spans="1:13">
      <c r="A5">
        <v>2</v>
      </c>
      <c r="B5" s="22">
        <f ca="1">IF('All Income'!K4&gt;225750,3300-(('All Income'!K4-225750)/2500)*0.02,3300)</f>
        <v>3300</v>
      </c>
      <c r="C5" s="22">
        <f>C4</f>
        <v>10700</v>
      </c>
      <c r="D5" s="22">
        <f ca="1">'All Income'!K4-Tax!B5-Tax!C5</f>
        <v>61914.540668024172</v>
      </c>
      <c r="E5" s="22">
        <f t="shared" ref="E5:E38" ca="1" si="0">IF(D5&gt;$M$7,$K$7+$L$7*(D5-$M$7),IF(D5&gt;$M$6,$K$6+$L$6*(D5-$M$6),IF(D5&gt;$M$5,$K$5+$L$5*(D5-$M$5),IF(D5&gt;$M$4,$K$4+$L$4*(D5-$M$4),IF(D5&gt;0,D5*0.1,0)))))</f>
        <v>8504.6811002036266</v>
      </c>
      <c r="F5" s="22">
        <f t="shared" ref="F5:F38" ca="1" si="1">D5*0.28</f>
        <v>17336.07138704677</v>
      </c>
      <c r="I5" s="84">
        <f>J4</f>
        <v>63700</v>
      </c>
      <c r="J5" s="84">
        <v>128500</v>
      </c>
      <c r="K5" s="89">
        <f>J4*L4</f>
        <v>9555</v>
      </c>
      <c r="L5" s="92">
        <v>0.25</v>
      </c>
      <c r="M5" s="88">
        <f>J4</f>
        <v>63700</v>
      </c>
    </row>
    <row r="6" spans="1:13">
      <c r="A6">
        <v>3</v>
      </c>
      <c r="B6" s="22">
        <f ca="1">IF('All Income'!K5&gt;225750,3300-(('All Income'!K5-225750)/2500)*0.02,3300)</f>
        <v>3300</v>
      </c>
      <c r="C6" s="22">
        <f t="shared" ref="C6:C38" si="2">C5</f>
        <v>10700</v>
      </c>
      <c r="D6" s="22">
        <f ca="1">'All Income'!K5-Tax!B6-Tax!C6</f>
        <v>64749.01892737727</v>
      </c>
      <c r="E6" s="22">
        <f t="shared" ca="1" si="0"/>
        <v>9817.2547318443176</v>
      </c>
      <c r="F6" s="22">
        <f t="shared" ca="1" si="1"/>
        <v>18129.725299665639</v>
      </c>
      <c r="I6" s="84">
        <f>J5</f>
        <v>128500</v>
      </c>
      <c r="J6" s="84">
        <v>195850</v>
      </c>
      <c r="K6" s="89">
        <f>J5*L5</f>
        <v>32125</v>
      </c>
      <c r="L6" s="92">
        <v>0.28000000000000003</v>
      </c>
      <c r="M6" s="88">
        <f>J5</f>
        <v>128500</v>
      </c>
    </row>
    <row r="7" spans="1:13">
      <c r="A7">
        <v>4</v>
      </c>
      <c r="B7" s="22">
        <f ca="1">IF('All Income'!K6&gt;225750,3300-(('All Income'!K6-225750)/2500)*0.02,3300)</f>
        <v>3300</v>
      </c>
      <c r="C7" s="22">
        <f t="shared" si="2"/>
        <v>10700</v>
      </c>
      <c r="D7" s="22">
        <f ca="1">'All Income'!K6-Tax!B7-Tax!C7</f>
        <v>67890.183237368459</v>
      </c>
      <c r="E7" s="22">
        <f t="shared" ca="1" si="0"/>
        <v>10602.545809342115</v>
      </c>
      <c r="F7" s="22">
        <f t="shared" ca="1" si="1"/>
        <v>19009.251306463171</v>
      </c>
      <c r="I7" s="84">
        <f>J6</f>
        <v>195850</v>
      </c>
      <c r="J7" s="84">
        <v>349700</v>
      </c>
      <c r="K7" s="89">
        <f>J6*L6</f>
        <v>54838.000000000007</v>
      </c>
      <c r="L7" s="92">
        <v>0.33</v>
      </c>
      <c r="M7" s="88">
        <f>J6</f>
        <v>195850</v>
      </c>
    </row>
    <row r="8" spans="1:13">
      <c r="A8">
        <v>5</v>
      </c>
      <c r="B8" s="22">
        <f ca="1">IF('All Income'!K7&gt;225750,3300-(('All Income'!K7-225750)/2500)*0.02,3300)</f>
        <v>3300</v>
      </c>
      <c r="C8" s="22">
        <f t="shared" si="2"/>
        <v>10700</v>
      </c>
      <c r="D8" s="22">
        <f ca="1">'All Income'!K7-Tax!B8-Tax!C8</f>
        <v>71772.756754433183</v>
      </c>
      <c r="E8" s="22">
        <f t="shared" ca="1" si="0"/>
        <v>11573.189188608296</v>
      </c>
      <c r="F8" s="22">
        <f t="shared" ca="1" si="1"/>
        <v>20096.371891241291</v>
      </c>
      <c r="I8" s="84">
        <f>J7</f>
        <v>349700</v>
      </c>
      <c r="J8" s="85" t="s">
        <v>195</v>
      </c>
      <c r="K8" s="89">
        <f>J7*L7</f>
        <v>115401</v>
      </c>
      <c r="L8" s="92">
        <v>0.35</v>
      </c>
      <c r="M8" s="88">
        <f>J7</f>
        <v>349700</v>
      </c>
    </row>
    <row r="9" spans="1:13">
      <c r="A9">
        <v>6</v>
      </c>
      <c r="B9" s="22">
        <f ca="1">IF('All Income'!K8&gt;225750,3300-(('All Income'!K8-225750)/2500)*0.02,3300)</f>
        <v>3300</v>
      </c>
      <c r="C9" s="22">
        <f t="shared" si="2"/>
        <v>10700</v>
      </c>
      <c r="D9" s="22">
        <f ca="1">'All Income'!K8-Tax!B9-Tax!C9</f>
        <v>76767.344141299138</v>
      </c>
      <c r="E9" s="22">
        <f t="shared" ca="1" si="0"/>
        <v>12821.836035324784</v>
      </c>
      <c r="F9" s="22">
        <f t="shared" ca="1" si="1"/>
        <v>21494.856359563761</v>
      </c>
    </row>
    <row r="10" spans="1:13">
      <c r="A10">
        <v>7</v>
      </c>
      <c r="B10" s="22">
        <f ca="1">IF('All Income'!K9&gt;225750,3300-(('All Income'!K9-225750)/2500)*0.02,3300)</f>
        <v>3300</v>
      </c>
      <c r="C10" s="22">
        <f t="shared" si="2"/>
        <v>10700</v>
      </c>
      <c r="D10" s="22">
        <f ca="1">'All Income'!K9-Tax!B10-Tax!C10</f>
        <v>83122.141718322411</v>
      </c>
      <c r="E10" s="22">
        <f t="shared" ca="1" si="0"/>
        <v>14410.535429580603</v>
      </c>
      <c r="F10" s="22">
        <f t="shared" ca="1" si="1"/>
        <v>23274.199681130278</v>
      </c>
    </row>
    <row r="11" spans="1:13">
      <c r="A11">
        <v>8</v>
      </c>
      <c r="B11" s="22">
        <f ca="1">IF('All Income'!K10&gt;225750,3300-(('All Income'!K10-225750)/2500)*0.02,3300)</f>
        <v>3300</v>
      </c>
      <c r="C11" s="22">
        <f t="shared" si="2"/>
        <v>10700</v>
      </c>
      <c r="D11" s="22">
        <f ca="1">'All Income'!K10-Tax!B11-Tax!C11</f>
        <v>89892.570485444012</v>
      </c>
      <c r="E11" s="22">
        <f t="shared" ca="1" si="0"/>
        <v>16103.142621361003</v>
      </c>
      <c r="F11" s="22">
        <f t="shared" ca="1" si="1"/>
        <v>25169.919735924326</v>
      </c>
      <c r="H11" s="22">
        <v>3300</v>
      </c>
      <c r="I11" t="s">
        <v>234</v>
      </c>
    </row>
    <row r="12" spans="1:13">
      <c r="A12">
        <v>9</v>
      </c>
      <c r="B12" s="22">
        <f ca="1">IF('All Income'!K11&gt;225750,3300-(('All Income'!K11-225750)/2500)*0.02,3300)</f>
        <v>3300</v>
      </c>
      <c r="C12" s="22">
        <f t="shared" si="2"/>
        <v>10700</v>
      </c>
      <c r="D12" s="22">
        <f ca="1">'All Income'!K11-Tax!B12-Tax!C12</f>
        <v>96065.288123137696</v>
      </c>
      <c r="E12" s="22">
        <f t="shared" ca="1" si="0"/>
        <v>17646.322030784424</v>
      </c>
      <c r="F12" s="22">
        <f t="shared" ca="1" si="1"/>
        <v>26898.280674478556</v>
      </c>
      <c r="H12" s="22">
        <v>10700</v>
      </c>
      <c r="I12" t="s">
        <v>235</v>
      </c>
    </row>
    <row r="13" spans="1:13">
      <c r="A13">
        <v>10</v>
      </c>
      <c r="B13" s="22">
        <f ca="1">IF('All Income'!K12&gt;225750,3300-(('All Income'!K12-225750)/2500)*0.02,3300)</f>
        <v>3300</v>
      </c>
      <c r="C13" s="22">
        <f t="shared" si="2"/>
        <v>10700</v>
      </c>
      <c r="D13" s="22">
        <f ca="1">'All Income'!K12-Tax!B13-Tax!C13</f>
        <v>101388.38525566718</v>
      </c>
      <c r="E13" s="22">
        <f t="shared" ca="1" si="0"/>
        <v>18977.096313916794</v>
      </c>
      <c r="F13" s="22">
        <f t="shared" ca="1" si="1"/>
        <v>28388.747871586813</v>
      </c>
    </row>
    <row r="14" spans="1:13">
      <c r="A14">
        <v>11</v>
      </c>
      <c r="B14" s="22">
        <f ca="1">IF('All Income'!K13&gt;225750,3300-(('All Income'!K13-225750)/2500)*0.02,3300)</f>
        <v>3300</v>
      </c>
      <c r="C14" s="22">
        <f t="shared" si="2"/>
        <v>10700</v>
      </c>
      <c r="D14" s="22">
        <f ca="1">'All Income'!K13-Tax!B14-Tax!C14</f>
        <v>106643.63606709382</v>
      </c>
      <c r="E14" s="22">
        <f t="shared" ca="1" si="0"/>
        <v>20290.909016773454</v>
      </c>
      <c r="F14" s="22">
        <f t="shared" ca="1" si="1"/>
        <v>29860.21809878627</v>
      </c>
    </row>
    <row r="15" spans="1:13">
      <c r="A15">
        <v>12</v>
      </c>
      <c r="B15" s="22">
        <f ca="1">IF('All Income'!K14&gt;225750,3300-(('All Income'!K14-225750)/2500)*0.02,3300)</f>
        <v>3300</v>
      </c>
      <c r="C15" s="22">
        <f t="shared" si="2"/>
        <v>10700</v>
      </c>
      <c r="D15" s="22">
        <f ca="1">'All Income'!K14-Tax!B15-Tax!C15</f>
        <v>112479.23821843651</v>
      </c>
      <c r="E15" s="22">
        <f t="shared" ca="1" si="0"/>
        <v>21749.809554609128</v>
      </c>
      <c r="F15" s="22">
        <f t="shared" ca="1" si="1"/>
        <v>31494.186701162227</v>
      </c>
    </row>
    <row r="16" spans="1:13">
      <c r="A16">
        <v>13</v>
      </c>
      <c r="B16" s="22">
        <f ca="1">IF('All Income'!K15&gt;225750,3300-(('All Income'!K15-225750)/2500)*0.02,3300)</f>
        <v>3300</v>
      </c>
      <c r="C16" s="22">
        <f t="shared" si="2"/>
        <v>10700</v>
      </c>
      <c r="D16" s="22">
        <f ca="1">'All Income'!K15-Tax!B16-Tax!C16</f>
        <v>118944.24768386054</v>
      </c>
      <c r="E16" s="22">
        <f t="shared" ca="1" si="0"/>
        <v>23366.061920965134</v>
      </c>
      <c r="F16" s="22">
        <f t="shared" ca="1" si="1"/>
        <v>33304.389351480953</v>
      </c>
    </row>
    <row r="17" spans="1:6">
      <c r="A17">
        <v>14</v>
      </c>
      <c r="B17" s="22">
        <f ca="1">IF('All Income'!K16&gt;225750,3300-(('All Income'!K16-225750)/2500)*0.02,3300)</f>
        <v>3300</v>
      </c>
      <c r="C17" s="22">
        <f t="shared" si="2"/>
        <v>10700</v>
      </c>
      <c r="D17" s="22">
        <f ca="1">'All Income'!K16-Tax!B17-Tax!C17</f>
        <v>125641.85492921193</v>
      </c>
      <c r="E17" s="22">
        <f t="shared" ca="1" si="0"/>
        <v>25040.463732302982</v>
      </c>
      <c r="F17" s="22">
        <f t="shared" ca="1" si="1"/>
        <v>35179.71938017934</v>
      </c>
    </row>
    <row r="18" spans="1:6">
      <c r="A18">
        <v>15</v>
      </c>
      <c r="B18" s="22">
        <f ca="1">IF('All Income'!K17&gt;225750,3300-(('All Income'!K17-225750)/2500)*0.02,3300)</f>
        <v>3300</v>
      </c>
      <c r="C18" s="22">
        <f t="shared" si="2"/>
        <v>10700</v>
      </c>
      <c r="D18" s="22">
        <f ca="1">'All Income'!K17-Tax!B18-Tax!C18</f>
        <v>132107.68631442951</v>
      </c>
      <c r="E18" s="22">
        <f t="shared" ca="1" si="0"/>
        <v>33135.152168040258</v>
      </c>
      <c r="F18" s="22">
        <f t="shared" ca="1" si="1"/>
        <v>36990.152168040266</v>
      </c>
    </row>
    <row r="19" spans="1:6">
      <c r="A19">
        <v>16</v>
      </c>
      <c r="B19" s="22">
        <f ca="1">IF('All Income'!K18&gt;225750,3300-(('All Income'!K18-225750)/2500)*0.02,3300)</f>
        <v>3300</v>
      </c>
      <c r="C19" s="22">
        <f t="shared" si="2"/>
        <v>10700</v>
      </c>
      <c r="D19" s="22">
        <f ca="1">'All Income'!K18-Tax!B19-Tax!C19</f>
        <v>138261.76706624945</v>
      </c>
      <c r="E19" s="22">
        <f t="shared" ca="1" si="0"/>
        <v>34858.294778549847</v>
      </c>
      <c r="F19" s="22">
        <f t="shared" ca="1" si="1"/>
        <v>38713.294778549847</v>
      </c>
    </row>
    <row r="20" spans="1:6">
      <c r="A20">
        <v>17</v>
      </c>
      <c r="B20" s="22">
        <f ca="1">IF('All Income'!K19&gt;225750,3300-(('All Income'!K19-225750)/2500)*0.02,3300)</f>
        <v>3300</v>
      </c>
      <c r="C20" s="22">
        <f t="shared" si="2"/>
        <v>10700</v>
      </c>
      <c r="D20" s="22">
        <f ca="1">'All Income'!K19-Tax!B20-Tax!C20</f>
        <v>145366.57679075032</v>
      </c>
      <c r="E20" s="22">
        <f t="shared" ca="1" si="0"/>
        <v>36847.641501410093</v>
      </c>
      <c r="F20" s="22">
        <f t="shared" ca="1" si="1"/>
        <v>40702.641501410093</v>
      </c>
    </row>
    <row r="21" spans="1:6">
      <c r="A21">
        <v>18</v>
      </c>
      <c r="B21" s="22">
        <f ca="1">IF('All Income'!K20&gt;225750,3300-(('All Income'!K20-225750)/2500)*0.02,3300)</f>
        <v>3300</v>
      </c>
      <c r="C21" s="22">
        <f t="shared" si="2"/>
        <v>10700</v>
      </c>
      <c r="D21" s="22">
        <f ca="1">'All Income'!K20-Tax!B21-Tax!C21</f>
        <v>154575.64679704051</v>
      </c>
      <c r="E21" s="22">
        <f t="shared" ca="1" si="0"/>
        <v>39426.181103171344</v>
      </c>
      <c r="F21" s="22">
        <f t="shared" ca="1" si="1"/>
        <v>43281.181103171344</v>
      </c>
    </row>
    <row r="22" spans="1:6">
      <c r="A22">
        <v>19</v>
      </c>
      <c r="B22" s="22">
        <f ca="1">IF('All Income'!K21&gt;225750,3300-(('All Income'!K21-225750)/2500)*0.02,3300)</f>
        <v>3300</v>
      </c>
      <c r="C22" s="22">
        <f t="shared" si="2"/>
        <v>10700</v>
      </c>
      <c r="D22" s="22">
        <f ca="1">'All Income'!K21-Tax!B22-Tax!C22</f>
        <v>166181.0908562445</v>
      </c>
      <c r="E22" s="22">
        <f t="shared" ca="1" si="0"/>
        <v>42675.705439748461</v>
      </c>
      <c r="F22" s="22">
        <f t="shared" ca="1" si="1"/>
        <v>46530.705439748461</v>
      </c>
    </row>
    <row r="23" spans="1:6">
      <c r="A23">
        <v>20</v>
      </c>
      <c r="B23" s="22">
        <f ca="1">IF('All Income'!K22&gt;225750,3300-(('All Income'!K22-225750)/2500)*0.02,3300)</f>
        <v>3300</v>
      </c>
      <c r="C23" s="22">
        <f t="shared" si="2"/>
        <v>10700</v>
      </c>
      <c r="D23" s="22">
        <f ca="1">'All Income'!K22-Tax!B23-Tax!C23</f>
        <v>178983.63548105385</v>
      </c>
      <c r="E23" s="22">
        <f t="shared" ca="1" si="0"/>
        <v>46260.417934695077</v>
      </c>
      <c r="F23" s="22">
        <f t="shared" ca="1" si="1"/>
        <v>50115.417934695084</v>
      </c>
    </row>
    <row r="24" spans="1:6">
      <c r="A24">
        <v>21</v>
      </c>
      <c r="B24" s="22">
        <f ca="1">IF('All Income'!K23&gt;225750,3300-(('All Income'!K23-225750)/2500)*0.02,3300)</f>
        <v>3300</v>
      </c>
      <c r="C24" s="22">
        <f t="shared" si="2"/>
        <v>10700</v>
      </c>
      <c r="D24" s="22">
        <f ca="1">'All Income'!K23-Tax!B24-Tax!C24</f>
        <v>192028.86231618191</v>
      </c>
      <c r="E24" s="22">
        <f t="shared" ca="1" si="0"/>
        <v>49913.081448530938</v>
      </c>
      <c r="F24" s="22">
        <f t="shared" ca="1" si="1"/>
        <v>53768.081448530938</v>
      </c>
    </row>
    <row r="25" spans="1:6">
      <c r="A25">
        <v>22</v>
      </c>
      <c r="B25" s="22">
        <f ca="1">IF('All Income'!K24&gt;225750,3300-(('All Income'!K24-225750)/2500)*0.02,3300)</f>
        <v>3300</v>
      </c>
      <c r="C25" s="22">
        <f t="shared" si="2"/>
        <v>10700</v>
      </c>
      <c r="D25" s="22">
        <f ca="1">'All Income'!K24-Tax!B25-Tax!C25</f>
        <v>205247.73402025906</v>
      </c>
      <c r="E25" s="22">
        <f t="shared" ca="1" si="0"/>
        <v>57939.252226685494</v>
      </c>
      <c r="F25" s="22">
        <f t="shared" ca="1" si="1"/>
        <v>57469.36552567254</v>
      </c>
    </row>
    <row r="26" spans="1:6">
      <c r="A26">
        <v>23</v>
      </c>
      <c r="B26" s="22">
        <f ca="1">IF('All Income'!K25&gt;225750,3300-(('All Income'!K25-225750)/2500)*0.02,3300)</f>
        <v>3299.9519523766849</v>
      </c>
      <c r="C26" s="22">
        <f t="shared" si="2"/>
        <v>10700</v>
      </c>
      <c r="D26" s="22">
        <f ca="1">'All Income'!K25-Tax!B26-Tax!C26</f>
        <v>217756.00096200267</v>
      </c>
      <c r="E26" s="22">
        <f t="shared" ca="1" si="0"/>
        <v>62066.98031746089</v>
      </c>
      <c r="F26" s="22">
        <f t="shared" ca="1" si="1"/>
        <v>60971.680269360753</v>
      </c>
    </row>
    <row r="27" spans="1:6">
      <c r="A27">
        <v>24</v>
      </c>
      <c r="B27" s="22">
        <f ca="1">IF('All Income'!K26&gt;225750,3300-(('All Income'!K26-225750)/2500)*0.02,3300)</f>
        <v>3299.8651566677795</v>
      </c>
      <c r="C27" s="22">
        <f t="shared" si="2"/>
        <v>10700</v>
      </c>
      <c r="D27" s="22">
        <f ca="1">'All Income'!K26-Tax!B27-Tax!C27</f>
        <v>228605.55137089593</v>
      </c>
      <c r="E27" s="22">
        <f t="shared" ca="1" si="0"/>
        <v>65647.33195239566</v>
      </c>
      <c r="F27" s="22">
        <f t="shared" ca="1" si="1"/>
        <v>64009.554383850867</v>
      </c>
    </row>
    <row r="28" spans="1:6">
      <c r="A28">
        <v>25</v>
      </c>
      <c r="B28" s="22">
        <f ca="1">IF('All Income'!K27&gt;225750,3300-(('All Income'!K27-225750)/2500)*0.02,3300)</f>
        <v>3299.7943124340331</v>
      </c>
      <c r="C28" s="22">
        <f t="shared" si="2"/>
        <v>10700</v>
      </c>
      <c r="D28" s="22">
        <f ca="1">'All Income'!K27-Tax!B28-Tax!C28</f>
        <v>237461.15143342013</v>
      </c>
      <c r="E28" s="22">
        <f t="shared" ca="1" si="0"/>
        <v>68569.679973028658</v>
      </c>
      <c r="F28" s="22">
        <f t="shared" ca="1" si="1"/>
        <v>66489.122401357643</v>
      </c>
    </row>
    <row r="29" spans="1:6">
      <c r="A29">
        <v>26</v>
      </c>
      <c r="B29" s="22">
        <f ca="1">IF('All Income'!K28&gt;225750,3300-(('All Income'!K28-225750)/2500)*0.02,3300)</f>
        <v>3299.72722900995</v>
      </c>
      <c r="C29" s="22">
        <f t="shared" si="2"/>
        <v>10700</v>
      </c>
      <c r="D29" s="22">
        <f ca="1">'All Income'!K28-Tax!B29-Tax!C29</f>
        <v>245846.64652727189</v>
      </c>
      <c r="E29" s="22">
        <f t="shared" ca="1" si="0"/>
        <v>71336.893353999738</v>
      </c>
      <c r="F29" s="22">
        <f t="shared" ca="1" si="1"/>
        <v>68837.06102763614</v>
      </c>
    </row>
    <row r="30" spans="1:6">
      <c r="A30">
        <v>27</v>
      </c>
      <c r="B30" s="22">
        <f ca="1">IF('All Income'!K29&gt;225750,3300-(('All Income'!K29-225750)/2500)*0.02,3300)</f>
        <v>3299.6533718858377</v>
      </c>
      <c r="C30" s="22">
        <f t="shared" si="2"/>
        <v>10700</v>
      </c>
      <c r="D30" s="22">
        <f ca="1">'All Income'!K29-Tax!B30-Tax!C30</f>
        <v>255078.86089841055</v>
      </c>
      <c r="E30" s="22">
        <f t="shared" ca="1" si="0"/>
        <v>74383.524096475492</v>
      </c>
      <c r="F30" s="22">
        <f t="shared" ca="1" si="1"/>
        <v>71422.081051554967</v>
      </c>
    </row>
    <row r="31" spans="1:6">
      <c r="A31">
        <v>28</v>
      </c>
      <c r="B31" s="22">
        <f ca="1">IF('All Income'!K30&gt;225750,3300-(('All Income'!K30-225750)/2500)*0.02,3300)</f>
        <v>3299.5721432708342</v>
      </c>
      <c r="C31" s="22">
        <f t="shared" si="2"/>
        <v>10700</v>
      </c>
      <c r="D31" s="22">
        <f ca="1">'All Income'!K30-Tax!B31-Tax!C31</f>
        <v>265232.51900246268</v>
      </c>
      <c r="E31" s="22">
        <f t="shared" ca="1" si="0"/>
        <v>77734.231270812685</v>
      </c>
      <c r="F31" s="22">
        <f t="shared" ca="1" si="1"/>
        <v>74265.105320689559</v>
      </c>
    </row>
    <row r="32" spans="1:6">
      <c r="A32">
        <v>29</v>
      </c>
      <c r="B32" s="22">
        <f ca="1">IF('All Income'!K31&gt;225750,3300-(('All Income'!K31-225750)/2500)*0.02,3300)</f>
        <v>3299.4910983972054</v>
      </c>
      <c r="C32" s="22">
        <f t="shared" si="2"/>
        <v>10700</v>
      </c>
      <c r="D32" s="22">
        <f ca="1">'All Income'!K31-Tax!B32-Tax!C32</f>
        <v>275363.20925092715</v>
      </c>
      <c r="E32" s="22">
        <f t="shared" ca="1" si="0"/>
        <v>81077.359052805958</v>
      </c>
      <c r="F32" s="22">
        <f t="shared" ca="1" si="1"/>
        <v>77101.698590259606</v>
      </c>
    </row>
    <row r="33" spans="1:6">
      <c r="A33">
        <v>30</v>
      </c>
      <c r="B33" s="22">
        <f ca="1">IF('All Income'!K32&gt;225750,3300-(('All Income'!K32-225750)/2500)*0.02,3300)</f>
        <v>3299.4177189768675</v>
      </c>
      <c r="C33" s="22">
        <f t="shared" si="2"/>
        <v>10700</v>
      </c>
      <c r="D33" s="22">
        <f ca="1">'All Income'!K32-Tax!B33-Tax!C33</f>
        <v>284535.71017258835</v>
      </c>
      <c r="E33" s="22">
        <f t="shared" ca="1" si="0"/>
        <v>84104.284356954158</v>
      </c>
      <c r="F33" s="22">
        <f t="shared" ca="1" si="1"/>
        <v>79669.998848324743</v>
      </c>
    </row>
    <row r="34" spans="1:6">
      <c r="A34">
        <v>31</v>
      </c>
      <c r="B34" s="22">
        <f ca="1">IF('All Income'!K33&gt;225750,3300-(('All Income'!K33-225750)/2500)*0.02,3300)</f>
        <v>3299.3530484469206</v>
      </c>
      <c r="C34" s="22">
        <f t="shared" si="2"/>
        <v>10700</v>
      </c>
      <c r="D34" s="22">
        <f ca="1">'All Income'!K33-Tax!B34-Tax!C34</f>
        <v>292619.59108645271</v>
      </c>
      <c r="E34" s="22">
        <f t="shared" ca="1" si="0"/>
        <v>86771.9650585294</v>
      </c>
      <c r="F34" s="22">
        <f t="shared" ca="1" si="1"/>
        <v>81933.485504206765</v>
      </c>
    </row>
    <row r="35" spans="1:6">
      <c r="A35">
        <v>32</v>
      </c>
      <c r="B35" s="22">
        <f ca="1">IF('All Income'!K34&gt;225750,3300-(('All Income'!K34-225750)/2500)*0.02,3300)</f>
        <v>3299.2946585402083</v>
      </c>
      <c r="C35" s="22">
        <f t="shared" si="2"/>
        <v>10700</v>
      </c>
      <c r="D35" s="22">
        <f ca="1">'All Income'!K34-Tax!B35-Tax!C35</f>
        <v>299918.38781545154</v>
      </c>
      <c r="E35" s="22">
        <f t="shared" ca="1" si="0"/>
        <v>89180.567979099025</v>
      </c>
      <c r="F35" s="22">
        <f t="shared" ca="1" si="1"/>
        <v>83977.148588326439</v>
      </c>
    </row>
    <row r="36" spans="1:6">
      <c r="A36">
        <v>33</v>
      </c>
      <c r="B36" s="22">
        <f ca="1">IF('All Income'!K35&gt;225750,3300-(('All Income'!K35-225750)/2500)*0.02,3300)</f>
        <v>3299.2379054903236</v>
      </c>
      <c r="C36" s="22">
        <f t="shared" si="2"/>
        <v>10700</v>
      </c>
      <c r="D36" s="22">
        <f ca="1">'All Income'!K35-Tax!B36-Tax!C36</f>
        <v>307012.57580407418</v>
      </c>
      <c r="E36" s="22">
        <f t="shared" ca="1" si="0"/>
        <v>91521.650015344494</v>
      </c>
      <c r="F36" s="22">
        <f t="shared" ca="1" si="1"/>
        <v>85963.521225140779</v>
      </c>
    </row>
    <row r="37" spans="1:6">
      <c r="A37">
        <v>34</v>
      </c>
      <c r="B37" s="22">
        <f ca="1">IF('All Income'!K36&gt;225750,3300-(('All Income'!K36-225750)/2500)*0.02,3300)</f>
        <v>3299.1827940180656</v>
      </c>
      <c r="C37" s="22">
        <f t="shared" si="2"/>
        <v>10700</v>
      </c>
      <c r="D37" s="22">
        <f ca="1">'All Income'!K36-Tax!B37-Tax!C37</f>
        <v>313901.5649478113</v>
      </c>
      <c r="E37" s="22">
        <f t="shared" ca="1" si="0"/>
        <v>93795.016432777746</v>
      </c>
      <c r="F37" s="22">
        <f t="shared" ca="1" si="1"/>
        <v>87892.438185387175</v>
      </c>
    </row>
    <row r="38" spans="1:6">
      <c r="A38">
        <v>35</v>
      </c>
      <c r="B38" s="22">
        <f ca="1">IF('All Income'!K37&gt;225750,3300-(('All Income'!K37-225750)/2500)*0.02,3300)</f>
        <v>3299.1394743441265</v>
      </c>
      <c r="C38" s="22">
        <f t="shared" si="2"/>
        <v>10700</v>
      </c>
      <c r="D38" s="22">
        <f ca="1">'All Income'!K37-Tax!B38-Tax!C38</f>
        <v>319316.56750982453</v>
      </c>
      <c r="E38" s="22">
        <f t="shared" ca="1" si="0"/>
        <v>95581.967278242111</v>
      </c>
      <c r="F38" s="22">
        <f t="shared" ca="1" si="1"/>
        <v>89408.63890275087</v>
      </c>
    </row>
  </sheetData>
  <mergeCells count="1">
    <mergeCell ref="I1:M1"/>
  </mergeCells>
  <phoneticPr fontId="2" type="noConversion"/>
  <pageMargins left="0.75" right="0.75" top="1" bottom="1" header="0.5" footer="0.5"/>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D37"/>
  <sheetViews>
    <sheetView workbookViewId="0">
      <selection activeCell="C1" sqref="C1"/>
    </sheetView>
  </sheetViews>
  <sheetFormatPr defaultRowHeight="12.75"/>
  <cols>
    <col min="2" max="2" width="9.140625" style="22"/>
    <col min="3" max="3" width="10.28515625" bestFit="1" customWidth="1"/>
    <col min="4" max="4" width="13.7109375" customWidth="1"/>
  </cols>
  <sheetData>
    <row r="1" spans="1:4">
      <c r="B1" s="27">
        <f>'Q&amp;A'!A39</f>
        <v>9000</v>
      </c>
      <c r="C1" s="131" t="s">
        <v>273</v>
      </c>
    </row>
    <row r="2" spans="1:4" ht="56.25" customHeight="1">
      <c r="A2" s="1" t="s">
        <v>122</v>
      </c>
      <c r="B2" s="25" t="s">
        <v>239</v>
      </c>
      <c r="C2" s="124" t="s">
        <v>240</v>
      </c>
      <c r="D2" s="124" t="s">
        <v>241</v>
      </c>
    </row>
    <row r="3" spans="1:4">
      <c r="A3">
        <v>1</v>
      </c>
      <c r="B3" s="22">
        <f>B1</f>
        <v>9000</v>
      </c>
      <c r="C3" s="126">
        <f ca="1">B3*(1+'All Expenses'!R3)</f>
        <v>9426.2962066319888</v>
      </c>
      <c r="D3" s="128">
        <f ca="1">C3*Expectation!I3</f>
        <v>9426.2962066319888</v>
      </c>
    </row>
    <row r="4" spans="1:4">
      <c r="A4">
        <v>2</v>
      </c>
      <c r="B4" s="22">
        <f ca="1">C3</f>
        <v>9426.2962066319888</v>
      </c>
      <c r="C4" s="126">
        <f ca="1">B4*(1+'All Expenses'!R4)</f>
        <v>9927.8074903262186</v>
      </c>
      <c r="D4" s="128">
        <f ca="1">C4*Expectation!I4</f>
        <v>9927.8074903262186</v>
      </c>
    </row>
    <row r="5" spans="1:4">
      <c r="A5">
        <v>3</v>
      </c>
      <c r="B5" s="22">
        <f t="shared" ref="B5:B37" ca="1" si="0">C4</f>
        <v>9927.8074903262186</v>
      </c>
      <c r="C5" s="126">
        <f ca="1">B5*(1+'All Expenses'!R5)</f>
        <v>10513.951334254942</v>
      </c>
      <c r="D5" s="128">
        <f ca="1">C5*Expectation!I5</f>
        <v>10513.951334254942</v>
      </c>
    </row>
    <row r="6" spans="1:4">
      <c r="A6">
        <v>4</v>
      </c>
      <c r="B6" s="22">
        <f t="shared" ca="1" si="0"/>
        <v>10513.951334254942</v>
      </c>
      <c r="C6" s="126">
        <f ca="1">B6*(1+'All Expenses'!R6)</f>
        <v>11196.073339914323</v>
      </c>
      <c r="D6" s="128">
        <f ca="1">C6*Expectation!I6</f>
        <v>11196.073339914323</v>
      </c>
    </row>
    <row r="7" spans="1:4">
      <c r="A7">
        <v>5</v>
      </c>
      <c r="B7" s="22">
        <f t="shared" ca="1" si="0"/>
        <v>11196.073339914323</v>
      </c>
      <c r="C7" s="126">
        <f ca="1">B7*(1+'All Expenses'!R7)</f>
        <v>12088.097127604451</v>
      </c>
      <c r="D7" s="128">
        <f ca="1">C7*Expectation!I7</f>
        <v>12088.097127604451</v>
      </c>
    </row>
    <row r="8" spans="1:4">
      <c r="A8">
        <v>6</v>
      </c>
      <c r="B8" s="22">
        <f t="shared" ca="1" si="0"/>
        <v>12088.097127604451</v>
      </c>
      <c r="C8" s="126">
        <f ca="1">B8*(1+'All Expenses'!R8)</f>
        <v>13230.035854238577</v>
      </c>
      <c r="D8" s="128">
        <f ca="1">C8*Expectation!I8</f>
        <v>13230.035854238577</v>
      </c>
    </row>
    <row r="9" spans="1:4">
      <c r="A9">
        <v>7</v>
      </c>
      <c r="B9" s="22">
        <f t="shared" ca="1" si="0"/>
        <v>13230.035854238577</v>
      </c>
      <c r="C9" s="126">
        <f ca="1">B9*(1+'All Expenses'!R9)</f>
        <v>14675.591204082919</v>
      </c>
      <c r="D9" s="128">
        <f ca="1">C9*Expectation!I9</f>
        <v>14675.591204082919</v>
      </c>
    </row>
    <row r="10" spans="1:4">
      <c r="A10">
        <v>8</v>
      </c>
      <c r="B10" s="22">
        <f t="shared" ca="1" si="0"/>
        <v>14675.591204082919</v>
      </c>
      <c r="C10" s="126">
        <f ca="1">B10*(1+'All Expenses'!R10)</f>
        <v>16051.812559376427</v>
      </c>
      <c r="D10" s="128">
        <f ca="1">C10*Expectation!I10</f>
        <v>16051.812559376427</v>
      </c>
    </row>
    <row r="11" spans="1:4">
      <c r="A11">
        <v>9</v>
      </c>
      <c r="B11" s="22">
        <f t="shared" ca="1" si="0"/>
        <v>16051.812559376427</v>
      </c>
      <c r="C11" s="126">
        <f ca="1">B11*(1+'All Expenses'!R11)</f>
        <v>17308.497369487777</v>
      </c>
      <c r="D11" s="128">
        <f ca="1">C11*Expectation!I11</f>
        <v>17308.497369487777</v>
      </c>
    </row>
    <row r="12" spans="1:4">
      <c r="A12">
        <v>10</v>
      </c>
      <c r="B12" s="22">
        <f t="shared" ca="1" si="0"/>
        <v>17308.497369487777</v>
      </c>
      <c r="C12" s="126">
        <f ca="1">B12*(1+'All Expenses'!R12)</f>
        <v>18395.511559092771</v>
      </c>
      <c r="D12" s="128">
        <f ca="1">C12*Expectation!I12</f>
        <v>18395.511559092771</v>
      </c>
    </row>
    <row r="13" spans="1:4">
      <c r="A13">
        <v>11</v>
      </c>
      <c r="B13" s="22">
        <f t="shared" ca="1" si="0"/>
        <v>18395.511559092771</v>
      </c>
      <c r="C13" s="126">
        <f ca="1">B13*(1+'All Expenses'!R13)</f>
        <v>19584.085813929152</v>
      </c>
      <c r="D13" s="128">
        <f ca="1">C13*Expectation!I13</f>
        <v>19584.085813929152</v>
      </c>
    </row>
    <row r="14" spans="1:4">
      <c r="A14">
        <v>12</v>
      </c>
      <c r="B14" s="22">
        <f t="shared" ca="1" si="0"/>
        <v>19584.085813929152</v>
      </c>
      <c r="C14" s="126">
        <f ca="1">B14*(1+'All Expenses'!R14)</f>
        <v>20884.900614731097</v>
      </c>
      <c r="D14" s="128">
        <f ca="1">C14*Expectation!I14</f>
        <v>20884.900614731097</v>
      </c>
    </row>
    <row r="15" spans="1:4">
      <c r="A15">
        <v>13</v>
      </c>
      <c r="B15" s="22">
        <f t="shared" ca="1" si="0"/>
        <v>20884.900614731097</v>
      </c>
      <c r="C15" s="126">
        <f ca="1">B15*(1+'All Expenses'!R15)</f>
        <v>22309.916615467653</v>
      </c>
      <c r="D15" s="128">
        <f ca="1">C15*Expectation!I15</f>
        <v>22309.916615467653</v>
      </c>
    </row>
    <row r="16" spans="1:4">
      <c r="A16">
        <v>14</v>
      </c>
      <c r="B16" s="22">
        <f t="shared" ca="1" si="0"/>
        <v>22309.916615467653</v>
      </c>
      <c r="C16" s="126">
        <f ca="1">B16*(1+'All Expenses'!R16)</f>
        <v>23690.131762594345</v>
      </c>
      <c r="D16" s="128">
        <f ca="1">C16*Expectation!I16</f>
        <v>23690.131762594345</v>
      </c>
    </row>
    <row r="17" spans="1:4">
      <c r="A17">
        <v>15</v>
      </c>
      <c r="B17" s="22">
        <f t="shared" ca="1" si="0"/>
        <v>23690.131762594345</v>
      </c>
      <c r="C17" s="126">
        <f ca="1">B17*(1+'All Expenses'!R17)</f>
        <v>25004.915389525209</v>
      </c>
      <c r="D17" s="128">
        <f ca="1">C17*Expectation!I17</f>
        <v>25004.915389525209</v>
      </c>
    </row>
    <row r="18" spans="1:4">
      <c r="A18">
        <v>16</v>
      </c>
      <c r="B18" s="22">
        <f t="shared" ca="1" si="0"/>
        <v>25004.915389525209</v>
      </c>
      <c r="C18" s="126">
        <f ca="1">B18*(1+'All Expenses'!R18)</f>
        <v>26233.478837199313</v>
      </c>
      <c r="D18" s="128">
        <f ca="1">C18*Expectation!I18</f>
        <v>26233.478837199313</v>
      </c>
    </row>
    <row r="19" spans="1:4">
      <c r="A19">
        <v>17</v>
      </c>
      <c r="B19" s="22">
        <f t="shared" ca="1" si="0"/>
        <v>26233.478837199313</v>
      </c>
      <c r="C19" s="126">
        <f ca="1">B19*(1+'All Expenses'!R19)</f>
        <v>27819.801353332263</v>
      </c>
      <c r="D19" s="128">
        <f ca="1">C19*Expectation!I19</f>
        <v>27819.801353332263</v>
      </c>
    </row>
    <row r="20" spans="1:4">
      <c r="A20">
        <v>18</v>
      </c>
      <c r="B20" s="22">
        <f t="shared" ca="1" si="0"/>
        <v>27819.801353332263</v>
      </c>
      <c r="C20" s="126">
        <f ca="1">B20*(1+'All Expenses'!R20)</f>
        <v>29817.427406586601</v>
      </c>
      <c r="D20" s="128">
        <f ca="1">C20*Expectation!I20</f>
        <v>29817.427406586601</v>
      </c>
    </row>
    <row r="21" spans="1:4">
      <c r="A21">
        <v>19</v>
      </c>
      <c r="B21" s="22">
        <f t="shared" ca="1" si="0"/>
        <v>29817.427406586601</v>
      </c>
      <c r="C21" s="126">
        <f ca="1">B21*(1+'All Expenses'!R21)</f>
        <v>32296.520504880744</v>
      </c>
      <c r="D21" s="128">
        <f ca="1">C21*Expectation!I21</f>
        <v>32296.520504880744</v>
      </c>
    </row>
    <row r="22" spans="1:4">
      <c r="A22">
        <v>20</v>
      </c>
      <c r="B22" s="22">
        <f t="shared" ca="1" si="0"/>
        <v>32296.520504880744</v>
      </c>
      <c r="C22" s="126">
        <f ca="1">B22*(1+'All Expenses'!R22)</f>
        <v>34867.818446450408</v>
      </c>
      <c r="D22" s="128">
        <f ca="1">C22*Expectation!I22</f>
        <v>34867.818446450408</v>
      </c>
    </row>
    <row r="23" spans="1:4">
      <c r="A23">
        <v>21</v>
      </c>
      <c r="B23" s="22">
        <f t="shared" ca="1" si="0"/>
        <v>34867.818446450408</v>
      </c>
      <c r="C23" s="126">
        <f ca="1">B23*(1+'All Expenses'!R23)</f>
        <v>37520.848931009037</v>
      </c>
      <c r="D23" s="128">
        <f ca="1">C23*Expectation!I23</f>
        <v>37520.848931009037</v>
      </c>
    </row>
    <row r="24" spans="1:4">
      <c r="A24">
        <v>22</v>
      </c>
      <c r="B24" s="22">
        <f t="shared" ca="1" si="0"/>
        <v>37520.848931009037</v>
      </c>
      <c r="C24" s="126">
        <f ca="1">B24*(1+'All Expenses'!R24)</f>
        <v>40243.404130066992</v>
      </c>
      <c r="D24" s="128">
        <f ca="1">C24*Expectation!I24</f>
        <v>40243.404130066992</v>
      </c>
    </row>
    <row r="25" spans="1:4">
      <c r="A25">
        <v>23</v>
      </c>
      <c r="B25" s="22">
        <f t="shared" ca="1" si="0"/>
        <v>40243.404130066992</v>
      </c>
      <c r="C25" s="126">
        <f ca="1">B25*(1+'All Expenses'!R25)</f>
        <v>42714.046322833005</v>
      </c>
      <c r="D25" s="128">
        <f ca="1">C25*Expectation!I25</f>
        <v>42714.046322833005</v>
      </c>
    </row>
    <row r="26" spans="1:4">
      <c r="A26">
        <v>24</v>
      </c>
      <c r="B26" s="22">
        <f t="shared" ca="1" si="0"/>
        <v>42714.046322833005</v>
      </c>
      <c r="C26" s="126">
        <f ca="1">B26*(1+'All Expenses'!R26)</f>
        <v>44859.308917389768</v>
      </c>
      <c r="D26" s="128">
        <f ca="1">C26*Expectation!I26</f>
        <v>44859.308917389768</v>
      </c>
    </row>
    <row r="27" spans="1:4">
      <c r="A27">
        <v>25</v>
      </c>
      <c r="B27" s="22">
        <f t="shared" ca="1" si="0"/>
        <v>44859.308917389768</v>
      </c>
      <c r="C27" s="126">
        <f ca="1">B27*(1+'All Expenses'!R27)</f>
        <v>46611.296660110311</v>
      </c>
      <c r="D27" s="128">
        <f ca="1">C27*Expectation!I27</f>
        <v>46611.296660110311</v>
      </c>
    </row>
    <row r="28" spans="1:4">
      <c r="A28">
        <v>26</v>
      </c>
      <c r="B28" s="22">
        <f t="shared" ca="1" si="0"/>
        <v>46611.296660110311</v>
      </c>
      <c r="C28" s="126">
        <f ca="1">B28*(1+'All Expenses'!R28)</f>
        <v>48522.463499092912</v>
      </c>
      <c r="D28" s="128">
        <f ca="1">C28*Expectation!I28</f>
        <v>48522.463499092912</v>
      </c>
    </row>
    <row r="29" spans="1:4">
      <c r="A29">
        <v>27</v>
      </c>
      <c r="B29" s="22">
        <f t="shared" ca="1" si="0"/>
        <v>48522.463499092912</v>
      </c>
      <c r="C29" s="126">
        <f ca="1">B29*(1+'All Expenses'!R29)</f>
        <v>50606.468507866732</v>
      </c>
      <c r="D29" s="128">
        <f ca="1">C29*Expectation!I29</f>
        <v>50606.468507866732</v>
      </c>
    </row>
    <row r="30" spans="1:4">
      <c r="A30">
        <v>28</v>
      </c>
      <c r="B30" s="22">
        <f t="shared" ca="1" si="0"/>
        <v>50606.468507866732</v>
      </c>
      <c r="C30" s="126">
        <f ca="1">B30*(1+'All Expenses'!R30)</f>
        <v>52878.513795460611</v>
      </c>
      <c r="D30" s="128">
        <f ca="1">C30*Expectation!I30</f>
        <v>52878.513795460611</v>
      </c>
    </row>
    <row r="31" spans="1:4">
      <c r="A31">
        <v>29</v>
      </c>
      <c r="B31" s="22">
        <f t="shared" ca="1" si="0"/>
        <v>52878.513795460611</v>
      </c>
      <c r="C31" s="126">
        <f ca="1">B31*(1+'All Expenses'!R31)</f>
        <v>54970.705032444464</v>
      </c>
      <c r="D31" s="128">
        <f ca="1">C31*Expectation!I31</f>
        <v>54970.705032444464</v>
      </c>
    </row>
    <row r="32" spans="1:4">
      <c r="A32">
        <v>30</v>
      </c>
      <c r="B32" s="22">
        <f t="shared" ca="1" si="0"/>
        <v>54970.705032444464</v>
      </c>
      <c r="C32" s="126">
        <f ca="1">B32*(1+'All Expenses'!R32)</f>
        <v>56852.663239636408</v>
      </c>
      <c r="D32" s="128">
        <f ca="1">C32*Expectation!I32</f>
        <v>56852.663239636408</v>
      </c>
    </row>
    <row r="33" spans="1:4">
      <c r="A33">
        <v>31</v>
      </c>
      <c r="B33" s="22">
        <f t="shared" ca="1" si="0"/>
        <v>56852.663239636408</v>
      </c>
      <c r="C33" s="126">
        <f ca="1">B33*(1+'All Expenses'!R33)</f>
        <v>58496.00737478106</v>
      </c>
      <c r="D33" s="128">
        <f ca="1">C33*Expectation!I33</f>
        <v>58496.00737478106</v>
      </c>
    </row>
    <row r="34" spans="1:4">
      <c r="A34">
        <v>32</v>
      </c>
      <c r="B34" s="22">
        <f t="shared" ca="1" si="0"/>
        <v>58496.00737478106</v>
      </c>
      <c r="C34" s="126">
        <f ca="1">B34*(1+'All Expenses'!R34)</f>
        <v>60159.91051248672</v>
      </c>
      <c r="D34" s="128">
        <f ca="1">C34*Expectation!I34</f>
        <v>60159.91051248672</v>
      </c>
    </row>
    <row r="35" spans="1:4">
      <c r="A35">
        <v>33</v>
      </c>
      <c r="B35" s="22">
        <f t="shared" ca="1" si="0"/>
        <v>60159.91051248672</v>
      </c>
      <c r="C35" s="126">
        <f ca="1">B35*(1+'All Expenses'!R35)</f>
        <v>61843.434179905627</v>
      </c>
      <c r="D35" s="128">
        <f ca="1">C35*Expectation!I35</f>
        <v>61843.434179905627</v>
      </c>
    </row>
    <row r="36" spans="1:4">
      <c r="A36">
        <v>34</v>
      </c>
      <c r="B36" s="22">
        <f t="shared" ca="1" si="0"/>
        <v>61843.434179905627</v>
      </c>
      <c r="C36" s="126">
        <f ca="1">B36*(1+'All Expenses'!R36)</f>
        <v>63545.58566657819</v>
      </c>
      <c r="D36" s="128">
        <f ca="1">C36*Expectation!I36</f>
        <v>63545.58566657819</v>
      </c>
    </row>
    <row r="37" spans="1:4">
      <c r="A37">
        <v>35</v>
      </c>
      <c r="B37" s="22">
        <f t="shared" ca="1" si="0"/>
        <v>63545.58566657819</v>
      </c>
      <c r="C37" s="126">
        <f ca="1">B37*(1+'All Expenses'!R37)</f>
        <v>64711.586170357768</v>
      </c>
      <c r="D37" s="128">
        <f ca="1">C37*Expectation!I37</f>
        <v>64711.586170357768</v>
      </c>
    </row>
  </sheetData>
  <phoneticPr fontId="2"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3:C38"/>
  <sheetViews>
    <sheetView workbookViewId="0">
      <selection activeCell="B3" sqref="B3"/>
    </sheetView>
  </sheetViews>
  <sheetFormatPr defaultRowHeight="12.75"/>
  <cols>
    <col min="2" max="2" width="9.140625" style="22"/>
  </cols>
  <sheetData>
    <row r="3" spans="1:3">
      <c r="A3" s="1" t="s">
        <v>122</v>
      </c>
      <c r="B3" s="22" t="s">
        <v>150</v>
      </c>
    </row>
    <row r="4" spans="1:3">
      <c r="A4">
        <v>1</v>
      </c>
      <c r="B4" s="61"/>
    </row>
    <row r="5" spans="1:3">
      <c r="A5">
        <v>2</v>
      </c>
      <c r="B5" s="61">
        <v>20000</v>
      </c>
      <c r="C5" s="131" t="s">
        <v>249</v>
      </c>
    </row>
    <row r="6" spans="1:3">
      <c r="A6">
        <v>3</v>
      </c>
      <c r="B6" s="61"/>
    </row>
    <row r="7" spans="1:3">
      <c r="A7">
        <v>4</v>
      </c>
      <c r="B7" s="61"/>
    </row>
    <row r="8" spans="1:3">
      <c r="A8">
        <v>5</v>
      </c>
      <c r="B8" s="61"/>
    </row>
    <row r="9" spans="1:3">
      <c r="A9">
        <v>6</v>
      </c>
      <c r="B9" s="61">
        <v>-4000</v>
      </c>
      <c r="C9" s="131" t="s">
        <v>275</v>
      </c>
    </row>
    <row r="10" spans="1:3">
      <c r="A10">
        <v>7</v>
      </c>
      <c r="B10" s="132"/>
    </row>
    <row r="11" spans="1:3">
      <c r="A11">
        <v>8</v>
      </c>
      <c r="B11" s="132"/>
    </row>
    <row r="12" spans="1:3">
      <c r="A12">
        <v>9</v>
      </c>
      <c r="B12" s="132"/>
    </row>
    <row r="13" spans="1:3">
      <c r="A13">
        <v>10</v>
      </c>
      <c r="B13" s="132"/>
    </row>
    <row r="14" spans="1:3">
      <c r="A14">
        <v>11</v>
      </c>
      <c r="B14" s="132"/>
    </row>
    <row r="15" spans="1:3">
      <c r="A15">
        <v>12</v>
      </c>
      <c r="B15" s="132"/>
    </row>
    <row r="16" spans="1:3">
      <c r="A16">
        <v>13</v>
      </c>
      <c r="B16" s="132"/>
    </row>
    <row r="17" spans="1:2">
      <c r="A17">
        <v>14</v>
      </c>
      <c r="B17" s="132"/>
    </row>
    <row r="18" spans="1:2">
      <c r="A18">
        <v>15</v>
      </c>
      <c r="B18" s="132"/>
    </row>
    <row r="19" spans="1:2">
      <c r="A19">
        <v>16</v>
      </c>
      <c r="B19" s="132"/>
    </row>
    <row r="20" spans="1:2">
      <c r="A20">
        <v>17</v>
      </c>
      <c r="B20" s="132"/>
    </row>
    <row r="21" spans="1:2">
      <c r="A21">
        <v>18</v>
      </c>
      <c r="B21" s="132"/>
    </row>
    <row r="22" spans="1:2">
      <c r="A22">
        <v>19</v>
      </c>
      <c r="B22" s="132"/>
    </row>
    <row r="23" spans="1:2">
      <c r="A23">
        <v>20</v>
      </c>
      <c r="B23" s="132"/>
    </row>
    <row r="24" spans="1:2">
      <c r="A24">
        <v>21</v>
      </c>
      <c r="B24" s="132"/>
    </row>
    <row r="25" spans="1:2">
      <c r="A25">
        <v>22</v>
      </c>
      <c r="B25" s="132"/>
    </row>
    <row r="26" spans="1:2">
      <c r="A26">
        <v>23</v>
      </c>
      <c r="B26" s="132"/>
    </row>
    <row r="27" spans="1:2">
      <c r="A27">
        <v>24</v>
      </c>
      <c r="B27" s="132"/>
    </row>
    <row r="28" spans="1:2">
      <c r="A28">
        <v>25</v>
      </c>
      <c r="B28" s="132"/>
    </row>
    <row r="29" spans="1:2">
      <c r="A29">
        <v>26</v>
      </c>
      <c r="B29" s="132"/>
    </row>
    <row r="30" spans="1:2">
      <c r="A30">
        <v>27</v>
      </c>
      <c r="B30" s="132"/>
    </row>
    <row r="31" spans="1:2">
      <c r="A31">
        <v>28</v>
      </c>
      <c r="B31" s="132"/>
    </row>
    <row r="32" spans="1:2">
      <c r="A32">
        <v>29</v>
      </c>
      <c r="B32" s="132"/>
    </row>
    <row r="33" spans="1:2">
      <c r="A33">
        <v>30</v>
      </c>
      <c r="B33" s="132"/>
    </row>
    <row r="34" spans="1:2">
      <c r="A34">
        <v>31</v>
      </c>
      <c r="B34" s="132"/>
    </row>
    <row r="35" spans="1:2">
      <c r="A35">
        <v>32</v>
      </c>
      <c r="B35" s="132"/>
    </row>
    <row r="36" spans="1:2">
      <c r="A36">
        <v>33</v>
      </c>
      <c r="B36" s="132"/>
    </row>
    <row r="37" spans="1:2">
      <c r="A37">
        <v>34</v>
      </c>
      <c r="B37" s="132"/>
    </row>
    <row r="38" spans="1:2">
      <c r="A38">
        <v>35</v>
      </c>
      <c r="B38" s="132"/>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5"/>
  </sheetPr>
  <dimension ref="A1:J37"/>
  <sheetViews>
    <sheetView workbookViewId="0">
      <selection activeCell="B5" sqref="B5"/>
    </sheetView>
  </sheetViews>
  <sheetFormatPr defaultRowHeight="12.75"/>
  <cols>
    <col min="2" max="2" width="10.85546875" customWidth="1"/>
    <col min="4" max="4" width="11.42578125" customWidth="1"/>
    <col min="5" max="5" width="11.28515625" customWidth="1"/>
    <col min="6" max="6" width="13.140625" customWidth="1"/>
  </cols>
  <sheetData>
    <row r="1" spans="1:10">
      <c r="C1" s="27">
        <f>'Q&amp;A'!A5</f>
        <v>25000</v>
      </c>
      <c r="D1" t="s">
        <v>148</v>
      </c>
    </row>
    <row r="2" spans="1:10" s="1" customFormat="1" ht="51">
      <c r="A2" s="1" t="s">
        <v>0</v>
      </c>
      <c r="B2" s="1" t="s">
        <v>166</v>
      </c>
      <c r="C2" s="1" t="s">
        <v>169</v>
      </c>
      <c r="D2" s="1" t="s">
        <v>176</v>
      </c>
      <c r="E2" s="1" t="s">
        <v>276</v>
      </c>
      <c r="F2" s="134" t="s">
        <v>277</v>
      </c>
    </row>
    <row r="3" spans="1:10" s="59" customFormat="1">
      <c r="A3" s="59">
        <v>1</v>
      </c>
      <c r="B3" s="79">
        <f>C1</f>
        <v>25000</v>
      </c>
      <c r="C3" s="79">
        <f>Worth!H3</f>
        <v>0</v>
      </c>
      <c r="D3" s="79">
        <f>B3+C3</f>
        <v>25000</v>
      </c>
      <c r="E3" s="143">
        <f>IF(D3&gt;40000,40000,D3)</f>
        <v>25000</v>
      </c>
      <c r="F3" s="143">
        <f>IF(D3&gt;E3,D3-E3,0)</f>
        <v>0</v>
      </c>
      <c r="J3" s="60"/>
    </row>
    <row r="4" spans="1:10">
      <c r="A4">
        <v>2</v>
      </c>
      <c r="B4" s="45">
        <f ca="1">summary!C4-summary!D4</f>
        <v>5657.5822314317484</v>
      </c>
      <c r="C4" s="79">
        <f>Worth!H4</f>
        <v>0</v>
      </c>
      <c r="D4" s="79">
        <f ca="1">B4+C4+D3</f>
        <v>30657.582231431748</v>
      </c>
      <c r="E4" s="143">
        <f t="shared" ref="E4:E37" ca="1" si="0">IF(D4&gt;40000,40000,D4)</f>
        <v>30657.582231431748</v>
      </c>
      <c r="F4" s="143">
        <f t="shared" ref="F4:F37" ca="1" si="1">IF(D4&gt;E4,D4-E4,0)</f>
        <v>0</v>
      </c>
      <c r="J4" s="57"/>
    </row>
    <row r="5" spans="1:10">
      <c r="A5">
        <v>3</v>
      </c>
      <c r="B5" s="45">
        <f ca="1">summary!C5-summary!D5</f>
        <v>-19396.099595569569</v>
      </c>
      <c r="C5" s="79">
        <f>Worth!H5</f>
        <v>0</v>
      </c>
      <c r="D5" s="79">
        <f t="shared" ref="D5:D37" ca="1" si="2">B5+C5+D4</f>
        <v>11261.482635862179</v>
      </c>
      <c r="E5" s="143">
        <f t="shared" ca="1" si="0"/>
        <v>11261.482635862179</v>
      </c>
      <c r="F5" s="143">
        <f t="shared" ca="1" si="1"/>
        <v>0</v>
      </c>
      <c r="J5" s="57"/>
    </row>
    <row r="6" spans="1:10">
      <c r="A6">
        <v>4</v>
      </c>
      <c r="B6" s="45">
        <f ca="1">summary!C6-summary!D6</f>
        <v>-9619.1251904384262</v>
      </c>
      <c r="C6" s="79">
        <f>Worth!H6</f>
        <v>0</v>
      </c>
      <c r="D6" s="79">
        <f t="shared" ca="1" si="2"/>
        <v>1642.3574454237532</v>
      </c>
      <c r="E6" s="143">
        <f t="shared" ca="1" si="0"/>
        <v>1642.3574454237532</v>
      </c>
      <c r="F6" s="143">
        <f t="shared" ca="1" si="1"/>
        <v>0</v>
      </c>
    </row>
    <row r="7" spans="1:10">
      <c r="A7">
        <v>5</v>
      </c>
      <c r="B7" s="45">
        <f ca="1">summary!C7-summary!D7</f>
        <v>-12023.167062491586</v>
      </c>
      <c r="C7" s="79">
        <v>0</v>
      </c>
      <c r="D7" s="79">
        <f t="shared" ca="1" si="2"/>
        <v>-10380.809617067833</v>
      </c>
      <c r="E7" s="143">
        <f t="shared" ca="1" si="0"/>
        <v>-10380.809617067833</v>
      </c>
      <c r="F7" s="143">
        <f t="shared" ca="1" si="1"/>
        <v>0</v>
      </c>
    </row>
    <row r="8" spans="1:10">
      <c r="A8">
        <v>6</v>
      </c>
      <c r="B8" s="45">
        <f ca="1">summary!C8-summary!D8</f>
        <v>-15366.421494318842</v>
      </c>
      <c r="C8" s="79">
        <f>Worth!H8</f>
        <v>0</v>
      </c>
      <c r="D8" s="79">
        <f t="shared" ca="1" si="2"/>
        <v>-25747.231111386674</v>
      </c>
      <c r="E8" s="143">
        <f t="shared" ca="1" si="0"/>
        <v>-25747.231111386674</v>
      </c>
      <c r="F8" s="143">
        <f t="shared" ca="1" si="1"/>
        <v>0</v>
      </c>
    </row>
    <row r="9" spans="1:10">
      <c r="A9">
        <v>7</v>
      </c>
      <c r="B9" s="45">
        <f ca="1">summary!C9-summary!D9</f>
        <v>-15628.156983523513</v>
      </c>
      <c r="C9" s="79">
        <f>Worth!H9</f>
        <v>0</v>
      </c>
      <c r="D9" s="79">
        <f t="shared" ca="1" si="2"/>
        <v>-41375.388094910188</v>
      </c>
      <c r="E9" s="143">
        <f t="shared" ca="1" si="0"/>
        <v>-41375.388094910188</v>
      </c>
      <c r="F9" s="143">
        <f t="shared" ca="1" si="1"/>
        <v>0</v>
      </c>
    </row>
    <row r="10" spans="1:10">
      <c r="A10">
        <v>8</v>
      </c>
      <c r="B10" s="45">
        <f ca="1">summary!C10-summary!D10</f>
        <v>-24998.801389539396</v>
      </c>
      <c r="C10" s="79">
        <f>Worth!H10</f>
        <v>0</v>
      </c>
      <c r="D10" s="79">
        <f t="shared" ca="1" si="2"/>
        <v>-66374.189484449584</v>
      </c>
      <c r="E10" s="143">
        <f t="shared" ca="1" si="0"/>
        <v>-66374.189484449584</v>
      </c>
      <c r="F10" s="143">
        <f t="shared" ca="1" si="1"/>
        <v>0</v>
      </c>
    </row>
    <row r="11" spans="1:10">
      <c r="A11">
        <v>9</v>
      </c>
      <c r="B11" s="45">
        <f ca="1">summary!C11-summary!D11</f>
        <v>-13448.374096353524</v>
      </c>
      <c r="C11" s="79">
        <f>Worth!H11</f>
        <v>0</v>
      </c>
      <c r="D11" s="79">
        <f t="shared" ca="1" si="2"/>
        <v>-79822.563580803107</v>
      </c>
      <c r="E11" s="143">
        <f t="shared" ca="1" si="0"/>
        <v>-79822.563580803107</v>
      </c>
      <c r="F11" s="143">
        <f t="shared" ca="1" si="1"/>
        <v>0</v>
      </c>
    </row>
    <row r="12" spans="1:10">
      <c r="A12">
        <v>10</v>
      </c>
      <c r="B12" s="45">
        <f ca="1">summary!C12-summary!D12</f>
        <v>-16368.881720905949</v>
      </c>
      <c r="C12" s="79">
        <f>Worth!H12</f>
        <v>0</v>
      </c>
      <c r="D12" s="79">
        <f t="shared" ca="1" si="2"/>
        <v>-96191.445301709056</v>
      </c>
      <c r="E12" s="143">
        <f t="shared" ca="1" si="0"/>
        <v>-96191.445301709056</v>
      </c>
      <c r="F12" s="143">
        <f t="shared" ca="1" si="1"/>
        <v>0</v>
      </c>
    </row>
    <row r="13" spans="1:10">
      <c r="A13">
        <v>11</v>
      </c>
      <c r="B13" s="45">
        <f ca="1">summary!C13-summary!D13</f>
        <v>-39346.696651548584</v>
      </c>
      <c r="C13" s="79">
        <f>Worth!H13</f>
        <v>0</v>
      </c>
      <c r="D13" s="79">
        <f t="shared" ca="1" si="2"/>
        <v>-135538.14195325764</v>
      </c>
      <c r="E13" s="143">
        <f t="shared" ca="1" si="0"/>
        <v>-135538.14195325764</v>
      </c>
      <c r="F13" s="143">
        <f t="shared" ca="1" si="1"/>
        <v>0</v>
      </c>
    </row>
    <row r="14" spans="1:10">
      <c r="A14">
        <v>12</v>
      </c>
      <c r="B14" s="45">
        <f ca="1">summary!C14-summary!D14</f>
        <v>-26458.664274986077</v>
      </c>
      <c r="C14" s="79">
        <f>Worth!H14</f>
        <v>0</v>
      </c>
      <c r="D14" s="79">
        <f t="shared" ca="1" si="2"/>
        <v>-161996.80622824372</v>
      </c>
      <c r="E14" s="143">
        <f t="shared" ca="1" si="0"/>
        <v>-161996.80622824372</v>
      </c>
      <c r="F14" s="143">
        <f t="shared" ca="1" si="1"/>
        <v>0</v>
      </c>
    </row>
    <row r="15" spans="1:10">
      <c r="A15">
        <v>13</v>
      </c>
      <c r="B15" s="45">
        <f ca="1">summary!C15-summary!D15</f>
        <v>-30186.207363547874</v>
      </c>
      <c r="C15" s="79">
        <f>Worth!H15</f>
        <v>0</v>
      </c>
      <c r="D15" s="79">
        <f t="shared" ca="1" si="2"/>
        <v>-192183.01359179159</v>
      </c>
      <c r="E15" s="143">
        <f t="shared" ca="1" si="0"/>
        <v>-192183.01359179159</v>
      </c>
      <c r="F15" s="143">
        <f t="shared" ca="1" si="1"/>
        <v>0</v>
      </c>
    </row>
    <row r="16" spans="1:10">
      <c r="A16">
        <v>14</v>
      </c>
      <c r="B16" s="45">
        <f ca="1">summary!C16-summary!D16</f>
        <v>-23294.367199907167</v>
      </c>
      <c r="C16" s="79">
        <f>Worth!H16</f>
        <v>0</v>
      </c>
      <c r="D16" s="79">
        <f t="shared" ca="1" si="2"/>
        <v>-215477.38079169876</v>
      </c>
      <c r="E16" s="143">
        <f t="shared" ca="1" si="0"/>
        <v>-215477.38079169876</v>
      </c>
      <c r="F16" s="143">
        <f t="shared" ca="1" si="1"/>
        <v>0</v>
      </c>
    </row>
    <row r="17" spans="1:6">
      <c r="A17">
        <v>15</v>
      </c>
      <c r="B17" s="45">
        <f ca="1">summary!C17-summary!D17</f>
        <v>-26194.440036144515</v>
      </c>
      <c r="C17" s="79">
        <f>Worth!H17</f>
        <v>0</v>
      </c>
      <c r="D17" s="79">
        <f t="shared" ca="1" si="2"/>
        <v>-241671.82082784327</v>
      </c>
      <c r="E17" s="143">
        <f t="shared" ca="1" si="0"/>
        <v>-241671.82082784327</v>
      </c>
      <c r="F17" s="143">
        <f t="shared" ca="1" si="1"/>
        <v>0</v>
      </c>
    </row>
    <row r="18" spans="1:6">
      <c r="A18">
        <v>16</v>
      </c>
      <c r="B18" s="45">
        <f ca="1">summary!C18-summary!D18</f>
        <v>-46484.254180332791</v>
      </c>
      <c r="C18" s="79">
        <f>Worth!H18</f>
        <v>0</v>
      </c>
      <c r="D18" s="79">
        <f t="shared" ca="1" si="2"/>
        <v>-288156.07500817603</v>
      </c>
      <c r="E18" s="143">
        <f t="shared" ca="1" si="0"/>
        <v>-288156.07500817603</v>
      </c>
      <c r="F18" s="143">
        <f t="shared" ca="1" si="1"/>
        <v>0</v>
      </c>
    </row>
    <row r="19" spans="1:6">
      <c r="A19">
        <v>17</v>
      </c>
      <c r="B19" s="45">
        <f ca="1">summary!C19-summary!D19</f>
        <v>-37992.725164979289</v>
      </c>
      <c r="C19" s="79">
        <f>Worth!H19</f>
        <v>0</v>
      </c>
      <c r="D19" s="79">
        <f t="shared" ca="1" si="2"/>
        <v>-326148.80017315532</v>
      </c>
      <c r="E19" s="143">
        <f t="shared" ca="1" si="0"/>
        <v>-326148.80017315532</v>
      </c>
      <c r="F19" s="143">
        <f t="shared" ca="1" si="1"/>
        <v>0</v>
      </c>
    </row>
    <row r="20" spans="1:6">
      <c r="A20">
        <v>18</v>
      </c>
      <c r="B20" s="45">
        <f ca="1">summary!C20-summary!D20</f>
        <v>-41983.722665421752</v>
      </c>
      <c r="C20" s="79">
        <f>Worth!H20</f>
        <v>0</v>
      </c>
      <c r="D20" s="79">
        <f t="shared" ca="1" si="2"/>
        <v>-368132.52283857705</v>
      </c>
      <c r="E20" s="143">
        <f t="shared" ca="1" si="0"/>
        <v>-368132.52283857705</v>
      </c>
      <c r="F20" s="143">
        <f t="shared" ca="1" si="1"/>
        <v>0</v>
      </c>
    </row>
    <row r="21" spans="1:6">
      <c r="A21">
        <v>19</v>
      </c>
      <c r="B21" s="45">
        <f ca="1">summary!C21-summary!D21</f>
        <v>-31435.730067748722</v>
      </c>
      <c r="C21" s="79">
        <f>Worth!H21</f>
        <v>0</v>
      </c>
      <c r="D21" s="79">
        <f t="shared" ca="1" si="2"/>
        <v>-399568.25290632574</v>
      </c>
      <c r="E21" s="143">
        <f t="shared" ca="1" si="0"/>
        <v>-399568.25290632574</v>
      </c>
      <c r="F21" s="143">
        <f t="shared" ca="1" si="1"/>
        <v>0</v>
      </c>
    </row>
    <row r="22" spans="1:6">
      <c r="A22">
        <v>20</v>
      </c>
      <c r="B22" s="45">
        <f ca="1">summary!C22-summary!D22</f>
        <v>-36032.168654333858</v>
      </c>
      <c r="C22" s="79">
        <f>Worth!H22</f>
        <v>0</v>
      </c>
      <c r="D22" s="79">
        <f t="shared" ca="1" si="2"/>
        <v>-435600.4215606596</v>
      </c>
      <c r="E22" s="143">
        <f t="shared" ca="1" si="0"/>
        <v>-435600.4215606596</v>
      </c>
      <c r="F22" s="143">
        <f t="shared" ca="1" si="1"/>
        <v>0</v>
      </c>
    </row>
    <row r="23" spans="1:6">
      <c r="A23">
        <v>21</v>
      </c>
      <c r="B23" s="45">
        <f ca="1">summary!C23-summary!D23</f>
        <v>-47996.835648942302</v>
      </c>
      <c r="C23" s="79">
        <f>Worth!H23</f>
        <v>0</v>
      </c>
      <c r="D23" s="79">
        <f t="shared" ca="1" si="2"/>
        <v>-483597.25720960193</v>
      </c>
      <c r="E23" s="143">
        <f t="shared" ca="1" si="0"/>
        <v>-483597.25720960193</v>
      </c>
      <c r="F23" s="143">
        <f t="shared" ca="1" si="1"/>
        <v>0</v>
      </c>
    </row>
    <row r="24" spans="1:6">
      <c r="A24">
        <v>22</v>
      </c>
      <c r="B24" s="45">
        <f ca="1">summary!C24-summary!D24</f>
        <v>-53054.952444903727</v>
      </c>
      <c r="C24" s="79">
        <f>Worth!H24</f>
        <v>0</v>
      </c>
      <c r="D24" s="79">
        <f t="shared" ca="1" si="2"/>
        <v>-536652.2096545056</v>
      </c>
      <c r="E24" s="143">
        <f t="shared" ca="1" si="0"/>
        <v>-536652.2096545056</v>
      </c>
      <c r="F24" s="143">
        <f t="shared" ca="1" si="1"/>
        <v>0</v>
      </c>
    </row>
    <row r="25" spans="1:6">
      <c r="A25">
        <v>23</v>
      </c>
      <c r="B25" s="45">
        <f ca="1">summary!C25-summary!D25</f>
        <v>-53748.644182744145</v>
      </c>
      <c r="C25" s="79">
        <f>Worth!H25</f>
        <v>0</v>
      </c>
      <c r="D25" s="79">
        <f t="shared" ca="1" si="2"/>
        <v>-590400.8538372498</v>
      </c>
      <c r="E25" s="143">
        <f t="shared" ca="1" si="0"/>
        <v>-590400.8538372498</v>
      </c>
      <c r="F25" s="143">
        <f t="shared" ca="1" si="1"/>
        <v>0</v>
      </c>
    </row>
    <row r="26" spans="1:6">
      <c r="A26">
        <v>24</v>
      </c>
      <c r="B26" s="45">
        <f ca="1">summary!C26-summary!D26</f>
        <v>-51442.111374223954</v>
      </c>
      <c r="C26" s="79">
        <f>Worth!H26</f>
        <v>0</v>
      </c>
      <c r="D26" s="79">
        <f t="shared" ca="1" si="2"/>
        <v>-641842.96521147375</v>
      </c>
      <c r="E26" s="143">
        <f t="shared" ca="1" si="0"/>
        <v>-641842.96521147375</v>
      </c>
      <c r="F26" s="143">
        <f t="shared" ca="1" si="1"/>
        <v>0</v>
      </c>
    </row>
    <row r="27" spans="1:6">
      <c r="A27">
        <v>25</v>
      </c>
      <c r="B27" s="45">
        <f ca="1">summary!C27-summary!D27</f>
        <v>-55037.972921910987</v>
      </c>
      <c r="C27" s="79">
        <f>Worth!H27</f>
        <v>0</v>
      </c>
      <c r="D27" s="79">
        <f t="shared" ca="1" si="2"/>
        <v>-696880.9381333848</v>
      </c>
      <c r="E27" s="143">
        <f t="shared" ca="1" si="0"/>
        <v>-696880.9381333848</v>
      </c>
      <c r="F27" s="143">
        <f t="shared" ca="1" si="1"/>
        <v>0</v>
      </c>
    </row>
    <row r="28" spans="1:6">
      <c r="A28">
        <v>26</v>
      </c>
      <c r="B28" s="45">
        <f ca="1">summary!C28-summary!D28</f>
        <v>-57977.971394995344</v>
      </c>
      <c r="C28" s="79">
        <f>Worth!H28</f>
        <v>0</v>
      </c>
      <c r="D28" s="79">
        <f t="shared" ca="1" si="2"/>
        <v>-754858.90952838014</v>
      </c>
      <c r="E28" s="143">
        <f t="shared" ca="1" si="0"/>
        <v>-754858.90952838014</v>
      </c>
      <c r="F28" s="143">
        <f t="shared" ca="1" si="1"/>
        <v>0</v>
      </c>
    </row>
    <row r="29" spans="1:6">
      <c r="A29">
        <v>27</v>
      </c>
      <c r="B29" s="45">
        <f ca="1">summary!C29-summary!D29</f>
        <v>-62039.120570175583</v>
      </c>
      <c r="C29" s="79">
        <f>Worth!H29</f>
        <v>0</v>
      </c>
      <c r="D29" s="79">
        <f t="shared" ca="1" si="2"/>
        <v>-816898.03009855573</v>
      </c>
      <c r="E29" s="143">
        <f t="shared" ca="1" si="0"/>
        <v>-816898.03009855573</v>
      </c>
      <c r="F29" s="143">
        <f t="shared" ca="1" si="1"/>
        <v>0</v>
      </c>
    </row>
    <row r="30" spans="1:6">
      <c r="A30">
        <v>28</v>
      </c>
      <c r="B30" s="45">
        <f ca="1">summary!C30-summary!D30</f>
        <v>-66408.336968616524</v>
      </c>
      <c r="C30" s="79">
        <f>Worth!H30</f>
        <v>0</v>
      </c>
      <c r="D30" s="79">
        <f t="shared" ca="1" si="2"/>
        <v>-883306.36706717219</v>
      </c>
      <c r="E30" s="143">
        <f t="shared" ca="1" si="0"/>
        <v>-883306.36706717219</v>
      </c>
      <c r="F30" s="143">
        <f t="shared" ca="1" si="1"/>
        <v>0</v>
      </c>
    </row>
    <row r="31" spans="1:6">
      <c r="A31">
        <v>29</v>
      </c>
      <c r="B31" s="45">
        <f ca="1">summary!C31-summary!D31</f>
        <v>-71112.548946967989</v>
      </c>
      <c r="C31" s="79">
        <f>Worth!H31</f>
        <v>0</v>
      </c>
      <c r="D31" s="79">
        <f t="shared" ca="1" si="2"/>
        <v>-954418.91601414024</v>
      </c>
      <c r="E31" s="143">
        <f t="shared" ca="1" si="0"/>
        <v>-954418.91601414024</v>
      </c>
      <c r="F31" s="143">
        <f t="shared" ca="1" si="1"/>
        <v>0</v>
      </c>
    </row>
    <row r="32" spans="1:6">
      <c r="A32">
        <v>30</v>
      </c>
      <c r="B32" s="45">
        <f ca="1">summary!C32-summary!D32</f>
        <v>-74921.253959004942</v>
      </c>
      <c r="C32" s="79">
        <f>Worth!H32</f>
        <v>0</v>
      </c>
      <c r="D32" s="79">
        <f t="shared" ca="1" si="2"/>
        <v>-1029340.1699731452</v>
      </c>
      <c r="E32" s="143">
        <f t="shared" ca="1" si="0"/>
        <v>-1029340.1699731452</v>
      </c>
      <c r="F32" s="143">
        <f t="shared" ca="1" si="1"/>
        <v>0</v>
      </c>
    </row>
    <row r="33" spans="1:6">
      <c r="A33">
        <v>31</v>
      </c>
      <c r="B33" s="45">
        <f ca="1">summary!C33-summary!D33</f>
        <v>-84876.82553165307</v>
      </c>
      <c r="C33" s="79">
        <f>Worth!H33</f>
        <v>0</v>
      </c>
      <c r="D33" s="79">
        <f t="shared" ca="1" si="2"/>
        <v>-1114216.9955047984</v>
      </c>
      <c r="E33" s="143">
        <f t="shared" ca="1" si="0"/>
        <v>-1114216.9955047984</v>
      </c>
      <c r="F33" s="143">
        <f t="shared" ca="1" si="1"/>
        <v>0</v>
      </c>
    </row>
    <row r="34" spans="1:6">
      <c r="A34">
        <v>32</v>
      </c>
      <c r="B34" s="45">
        <f ca="1">summary!C34-summary!D34</f>
        <v>-87973.526911449968</v>
      </c>
      <c r="C34" s="79">
        <f>Worth!H34</f>
        <v>0</v>
      </c>
      <c r="D34" s="79">
        <f t="shared" ca="1" si="2"/>
        <v>-1202190.5224162485</v>
      </c>
      <c r="E34" s="143">
        <f t="shared" ca="1" si="0"/>
        <v>-1202190.5224162485</v>
      </c>
      <c r="F34" s="143">
        <f t="shared" ca="1" si="1"/>
        <v>0</v>
      </c>
    </row>
    <row r="35" spans="1:6">
      <c r="A35">
        <v>33</v>
      </c>
      <c r="B35" s="45">
        <f ca="1">summary!C35-summary!D35</f>
        <v>-91702.727979808114</v>
      </c>
      <c r="C35" s="79">
        <f>Worth!H35</f>
        <v>0</v>
      </c>
      <c r="D35" s="79">
        <f t="shared" ca="1" si="2"/>
        <v>-1293893.2503960566</v>
      </c>
      <c r="E35" s="143">
        <f t="shared" ca="1" si="0"/>
        <v>-1293893.2503960566</v>
      </c>
      <c r="F35" s="143">
        <f t="shared" ca="1" si="1"/>
        <v>0</v>
      </c>
    </row>
    <row r="36" spans="1:6">
      <c r="A36">
        <v>34</v>
      </c>
      <c r="B36" s="45">
        <f ca="1">summary!C36-summary!D36</f>
        <v>-95670.653363844962</v>
      </c>
      <c r="C36" s="79">
        <f>Worth!H36</f>
        <v>0</v>
      </c>
      <c r="D36" s="79">
        <f t="shared" ca="1" si="2"/>
        <v>-1389563.9037599014</v>
      </c>
      <c r="E36" s="143">
        <f t="shared" ca="1" si="0"/>
        <v>-1389563.9037599014</v>
      </c>
      <c r="F36" s="143">
        <f t="shared" ca="1" si="1"/>
        <v>0</v>
      </c>
    </row>
    <row r="37" spans="1:6">
      <c r="A37">
        <v>35</v>
      </c>
      <c r="B37" s="45">
        <f ca="1">summary!C37-summary!D37</f>
        <v>-99872.555998817261</v>
      </c>
      <c r="C37" s="79">
        <f>Worth!H37</f>
        <v>0</v>
      </c>
      <c r="D37" s="79">
        <f t="shared" ca="1" si="2"/>
        <v>-1489436.4597587187</v>
      </c>
      <c r="E37" s="143">
        <f t="shared" ca="1" si="0"/>
        <v>-1489436.4597587187</v>
      </c>
      <c r="F37" s="143">
        <f t="shared" ca="1" si="1"/>
        <v>0</v>
      </c>
    </row>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7"/>
  </sheetPr>
  <dimension ref="A1:N37"/>
  <sheetViews>
    <sheetView zoomScaleNormal="100" workbookViewId="0">
      <selection activeCell="E4" sqref="E4"/>
    </sheetView>
  </sheetViews>
  <sheetFormatPr defaultRowHeight="12.75"/>
  <cols>
    <col min="1" max="1" width="7.140625" customWidth="1"/>
    <col min="2" max="2" width="9" style="3" bestFit="1" customWidth="1"/>
    <col min="3" max="3" width="10.5703125" customWidth="1"/>
    <col min="4" max="4" width="13" customWidth="1"/>
    <col min="5" max="5" width="10.28515625" customWidth="1"/>
    <col min="6" max="6" width="10" customWidth="1"/>
    <col min="7" max="7" width="13.140625" customWidth="1"/>
    <col min="8" max="8" width="8.5703125" bestFit="1" customWidth="1"/>
    <col min="9" max="9" width="11.140625" bestFit="1" customWidth="1"/>
    <col min="10" max="10" width="8.5703125" bestFit="1" customWidth="1"/>
    <col min="11" max="11" width="9.140625" bestFit="1" customWidth="1"/>
    <col min="13" max="13" width="5.85546875" bestFit="1" customWidth="1"/>
    <col min="14" max="14" width="41.140625" bestFit="1" customWidth="1"/>
  </cols>
  <sheetData>
    <row r="1" spans="1:14">
      <c r="B1" s="9"/>
    </row>
    <row r="2" spans="1:14" s="1" customFormat="1" ht="38.25">
      <c r="A2" s="134" t="s">
        <v>168</v>
      </c>
      <c r="B2" s="2" t="s">
        <v>6</v>
      </c>
      <c r="C2" s="1" t="s">
        <v>140</v>
      </c>
      <c r="D2" s="1" t="s">
        <v>4</v>
      </c>
      <c r="E2" s="1" t="s">
        <v>141</v>
      </c>
      <c r="F2" s="1" t="s">
        <v>142</v>
      </c>
      <c r="G2" s="1" t="s">
        <v>145</v>
      </c>
      <c r="H2" s="1" t="s">
        <v>197</v>
      </c>
      <c r="I2" s="1" t="s">
        <v>259</v>
      </c>
      <c r="J2" s="1" t="s">
        <v>143</v>
      </c>
      <c r="K2" s="1" t="s">
        <v>144</v>
      </c>
    </row>
    <row r="3" spans="1:14">
      <c r="A3">
        <f>'Q&amp;A'!A4</f>
        <v>64</v>
      </c>
      <c r="B3" s="3">
        <v>1</v>
      </c>
      <c r="C3" s="22">
        <f ca="1">TSP!G4</f>
        <v>210059.10539222119</v>
      </c>
      <c r="D3" s="27">
        <f>'IRA &amp; svgs'!B2</f>
        <v>140000</v>
      </c>
      <c r="E3" s="27">
        <f>'Q&amp;A'!A18</f>
        <v>250000</v>
      </c>
      <c r="F3" s="27">
        <f>'Q&amp;A'!A14</f>
        <v>120000</v>
      </c>
      <c r="G3" s="22">
        <f ca="1">SUM(C3:F3)</f>
        <v>720059.10539222113</v>
      </c>
      <c r="I3" s="22">
        <f ca="1">C3+D3</f>
        <v>350059.10539222119</v>
      </c>
      <c r="J3" s="82">
        <f ca="1">RAND()*($M$3-$M$4)+$M$4</f>
        <v>5.0351167198954605E-2</v>
      </c>
      <c r="K3" s="82">
        <f ca="1">RAND()*($M$6-$M$7)+$M$7</f>
        <v>2.184838526108341E-2</v>
      </c>
      <c r="M3" s="82">
        <f>'Q&amp;A'!A20</f>
        <v>0.06</v>
      </c>
      <c r="N3" t="s">
        <v>188</v>
      </c>
    </row>
    <row r="4" spans="1:14">
      <c r="A4">
        <f>A3+1</f>
        <v>65</v>
      </c>
      <c r="B4" s="3">
        <v>2</v>
      </c>
      <c r="C4" s="22">
        <f ca="1">TSP!G5</f>
        <v>218130.99157059021</v>
      </c>
      <c r="D4" s="27">
        <f ca="1">'IRA &amp; svgs'!B3</f>
        <v>139391.485196875</v>
      </c>
      <c r="E4" s="22">
        <f t="shared" ref="E4:E37" ca="1" si="0">E3*(1+J4)</f>
        <v>259590.20759834751</v>
      </c>
      <c r="F4" s="22">
        <f t="shared" ref="F4:F37" ca="1" si="1">F3*(1+K4)</f>
        <v>121633.1780275651</v>
      </c>
      <c r="G4" s="22">
        <f t="shared" ref="G4:G37" ca="1" si="2">SUM(C4:F4)</f>
        <v>738745.86239337781</v>
      </c>
      <c r="I4" s="22">
        <f t="shared" ref="I4:I37" ca="1" si="3">C4+D4</f>
        <v>357522.47676746524</v>
      </c>
      <c r="J4" s="82">
        <f t="shared" ref="J4:J37" ca="1" si="4">RAND()*($M$3-$M$4)+$M$4</f>
        <v>3.8360830393390034E-2</v>
      </c>
      <c r="K4" s="82">
        <f t="shared" ref="K4:K37" ca="1" si="5">RAND()*($M$6-$M$7)+$M$7</f>
        <v>1.360981689637576E-2</v>
      </c>
      <c r="M4" s="82">
        <f>'Q&amp;A'!A19</f>
        <v>0</v>
      </c>
      <c r="N4" t="s">
        <v>189</v>
      </c>
    </row>
    <row r="5" spans="1:14">
      <c r="A5">
        <f t="shared" ref="A5:A37" si="6">A4+1</f>
        <v>66</v>
      </c>
      <c r="B5" s="3">
        <v>3</v>
      </c>
      <c r="C5" s="22">
        <f ca="1">TSP!G6</f>
        <v>223924.10326818813</v>
      </c>
      <c r="D5" s="27">
        <f ca="1">'IRA &amp; svgs'!B4</f>
        <v>138134.83259330789</v>
      </c>
      <c r="E5" s="22">
        <f t="shared" ca="1" si="0"/>
        <v>265421.47758624662</v>
      </c>
      <c r="F5" s="22">
        <f t="shared" ca="1" si="1"/>
        <v>125221.55152555734</v>
      </c>
      <c r="G5" s="22">
        <f t="shared" ca="1" si="2"/>
        <v>752701.96497329988</v>
      </c>
      <c r="I5" s="22">
        <f t="shared" ca="1" si="3"/>
        <v>362058.93586149602</v>
      </c>
      <c r="J5" s="82">
        <f t="shared" ca="1" si="4"/>
        <v>2.2463366557037255E-2</v>
      </c>
      <c r="K5" s="82">
        <f t="shared" ca="1" si="5"/>
        <v>2.9501601094226296E-2</v>
      </c>
    </row>
    <row r="6" spans="1:14">
      <c r="A6">
        <f t="shared" si="6"/>
        <v>67</v>
      </c>
      <c r="B6" s="3">
        <v>4</v>
      </c>
      <c r="C6" s="22">
        <f ca="1">TSP!G7</f>
        <v>227213.36017346018</v>
      </c>
      <c r="D6" s="27">
        <f ca="1">'IRA &amp; svgs'!B5</f>
        <v>136244.59331335098</v>
      </c>
      <c r="E6" s="22">
        <f t="shared" ca="1" si="0"/>
        <v>269088.27429596044</v>
      </c>
      <c r="F6" s="22">
        <f t="shared" ca="1" si="1"/>
        <v>128032.14002324345</v>
      </c>
      <c r="G6" s="22">
        <f t="shared" ca="1" si="2"/>
        <v>760578.36780601507</v>
      </c>
      <c r="I6" s="22">
        <f t="shared" ca="1" si="3"/>
        <v>363457.95348681114</v>
      </c>
      <c r="J6" s="82">
        <f t="shared" ca="1" si="4"/>
        <v>1.381499622057639E-2</v>
      </c>
      <c r="K6" s="82">
        <f t="shared" ca="1" si="5"/>
        <v>2.2444926320150965E-2</v>
      </c>
      <c r="M6" s="82">
        <f>'Q&amp;A'!A22</f>
        <v>0.03</v>
      </c>
      <c r="N6" t="s">
        <v>190</v>
      </c>
    </row>
    <row r="7" spans="1:14">
      <c r="A7">
        <f t="shared" si="6"/>
        <v>68</v>
      </c>
      <c r="B7" s="3">
        <v>5</v>
      </c>
      <c r="C7" s="22">
        <f ca="1">TSP!G8</f>
        <v>226150.61729212716</v>
      </c>
      <c r="D7" s="27">
        <f ca="1">'IRA &amp; svgs'!B6</f>
        <v>133744.12939022487</v>
      </c>
      <c r="E7" s="22">
        <f t="shared" ca="1" si="0"/>
        <v>277603.62507205264</v>
      </c>
      <c r="F7" s="22">
        <f t="shared" ca="1" si="1"/>
        <v>130556.65530575455</v>
      </c>
      <c r="G7" s="22">
        <f t="shared" ca="1" si="2"/>
        <v>768055.02706015913</v>
      </c>
      <c r="I7" s="22">
        <f t="shared" ca="1" si="3"/>
        <v>359894.74668235204</v>
      </c>
      <c r="J7" s="82">
        <f t="shared" ca="1" si="4"/>
        <v>3.1645194493783411E-2</v>
      </c>
      <c r="K7" s="82">
        <f t="shared" ca="1" si="5"/>
        <v>1.9717824618512146E-2</v>
      </c>
      <c r="M7" s="82">
        <f>'Q&amp;A'!A21</f>
        <v>-0.01</v>
      </c>
      <c r="N7" t="s">
        <v>191</v>
      </c>
    </row>
    <row r="8" spans="1:14">
      <c r="A8">
        <f t="shared" si="6"/>
        <v>69</v>
      </c>
      <c r="B8" s="3">
        <v>6</v>
      </c>
      <c r="C8" s="22">
        <f ca="1">TSP!G9</f>
        <v>220713.11051847489</v>
      </c>
      <c r="D8" s="27">
        <f ca="1">'IRA &amp; svgs'!B7</f>
        <v>131532.60415315648</v>
      </c>
      <c r="E8" s="22">
        <f t="shared" ca="1" si="0"/>
        <v>289688.63197072991</v>
      </c>
      <c r="F8" s="22">
        <f t="shared" ca="1" si="1"/>
        <v>134447.48410945834</v>
      </c>
      <c r="G8" s="22">
        <f t="shared" ca="1" si="2"/>
        <v>776381.83075181954</v>
      </c>
      <c r="I8" s="22">
        <f t="shared" ca="1" si="3"/>
        <v>352245.71467163134</v>
      </c>
      <c r="J8" s="82">
        <f t="shared" ca="1" si="4"/>
        <v>4.353331803768979E-2</v>
      </c>
      <c r="K8" s="82">
        <f t="shared" ca="1" si="5"/>
        <v>2.9801841925191398E-2</v>
      </c>
    </row>
    <row r="9" spans="1:14">
      <c r="A9">
        <f t="shared" si="6"/>
        <v>70</v>
      </c>
      <c r="B9" s="3">
        <v>7</v>
      </c>
      <c r="C9" s="22">
        <f ca="1">TSP!G10</f>
        <v>211131.91230133147</v>
      </c>
      <c r="D9" s="27">
        <f ca="1">'IRA &amp; svgs'!B8</f>
        <v>129596.67693395415</v>
      </c>
      <c r="E9" s="22">
        <f t="shared" ca="1" si="0"/>
        <v>299628.48759704048</v>
      </c>
      <c r="F9" s="22">
        <f t="shared" ca="1" si="1"/>
        <v>136846.09094171724</v>
      </c>
      <c r="G9" s="22">
        <f t="shared" ca="1" si="2"/>
        <v>777203.1677740434</v>
      </c>
      <c r="I9" s="22">
        <f t="shared" ca="1" si="3"/>
        <v>340728.58923528565</v>
      </c>
      <c r="J9" s="82">
        <f t="shared" ca="1" si="4"/>
        <v>3.4312204654668159E-2</v>
      </c>
      <c r="K9" s="82">
        <f t="shared" ca="1" si="5"/>
        <v>1.7840473908058423E-2</v>
      </c>
    </row>
    <row r="10" spans="1:14">
      <c r="A10">
        <f t="shared" si="6"/>
        <v>71</v>
      </c>
      <c r="B10" s="3">
        <v>8</v>
      </c>
      <c r="C10" s="22">
        <f ca="1">TSP!G11</f>
        <v>202153.87066448561</v>
      </c>
      <c r="D10" s="27">
        <f ca="1">'IRA &amp; svgs'!B9</f>
        <v>127924.75440484262</v>
      </c>
      <c r="E10" s="22">
        <f t="shared" ca="1" si="0"/>
        <v>313127.23352796515</v>
      </c>
      <c r="F10" s="22">
        <f t="shared" ca="1" si="1"/>
        <v>136518.56797004788</v>
      </c>
      <c r="G10" s="22">
        <f t="shared" ca="1" si="2"/>
        <v>779724.4265673412</v>
      </c>
      <c r="I10" s="22">
        <f t="shared" ca="1" si="3"/>
        <v>330078.62506932823</v>
      </c>
      <c r="J10" s="82">
        <f t="shared" ca="1" si="4"/>
        <v>4.5051610543382796E-2</v>
      </c>
      <c r="K10" s="82">
        <f t="shared" ca="1" si="5"/>
        <v>-2.393367391172632E-3</v>
      </c>
    </row>
    <row r="11" spans="1:14">
      <c r="A11">
        <f t="shared" si="6"/>
        <v>72</v>
      </c>
      <c r="B11" s="3">
        <v>9</v>
      </c>
      <c r="C11" s="22">
        <f ca="1">TSP!G12</f>
        <v>193736.87874247757</v>
      </c>
      <c r="D11" s="27">
        <f ca="1">'IRA &amp; svgs'!B10</f>
        <v>125400.05586644575</v>
      </c>
      <c r="E11" s="22">
        <f t="shared" ca="1" si="0"/>
        <v>322697.83411764802</v>
      </c>
      <c r="F11" s="22">
        <f t="shared" ca="1" si="1"/>
        <v>139196.31677197263</v>
      </c>
      <c r="G11" s="22">
        <f t="shared" ca="1" si="2"/>
        <v>781031.08549854392</v>
      </c>
      <c r="I11" s="22">
        <f t="shared" ca="1" si="3"/>
        <v>319136.93460892333</v>
      </c>
      <c r="J11" s="82">
        <f t="shared" ca="1" si="4"/>
        <v>3.0564574284555394E-2</v>
      </c>
      <c r="K11" s="82">
        <f t="shared" ca="1" si="5"/>
        <v>1.9614539192296804E-2</v>
      </c>
    </row>
    <row r="12" spans="1:14">
      <c r="A12">
        <f t="shared" si="6"/>
        <v>73</v>
      </c>
      <c r="B12" s="3">
        <v>10</v>
      </c>
      <c r="C12" s="22">
        <f ca="1">TSP!G13</f>
        <v>185842.15017874981</v>
      </c>
      <c r="D12" s="27">
        <f ca="1">'IRA &amp; svgs'!B11</f>
        <v>122068.09478340352</v>
      </c>
      <c r="E12" s="22">
        <f t="shared" ca="1" si="0"/>
        <v>323076.83577588451</v>
      </c>
      <c r="F12" s="22">
        <f t="shared" ca="1" si="1"/>
        <v>142975.61867769668</v>
      </c>
      <c r="G12" s="22">
        <f t="shared" ca="1" si="2"/>
        <v>773962.6994157345</v>
      </c>
      <c r="I12" s="22">
        <f t="shared" ca="1" si="3"/>
        <v>307910.24496215332</v>
      </c>
      <c r="J12" s="82">
        <f t="shared" ca="1" si="4"/>
        <v>1.1744784692242181E-3</v>
      </c>
      <c r="K12" s="82">
        <f t="shared" ca="1" si="5"/>
        <v>2.7150875780105443E-2</v>
      </c>
    </row>
    <row r="13" spans="1:14">
      <c r="A13">
        <f t="shared" si="6"/>
        <v>74</v>
      </c>
      <c r="B13" s="3">
        <v>11</v>
      </c>
      <c r="C13" s="22">
        <f ca="1">TSP!G14</f>
        <v>178231.47287640302</v>
      </c>
      <c r="D13" s="27">
        <f ca="1">'IRA &amp; svgs'!B12</f>
        <v>117990.34998738754</v>
      </c>
      <c r="E13" s="22">
        <f t="shared" ca="1" si="0"/>
        <v>332119.10953425075</v>
      </c>
      <c r="F13" s="22">
        <f t="shared" ca="1" si="1"/>
        <v>145571.1448641803</v>
      </c>
      <c r="G13" s="22">
        <f t="shared" ca="1" si="2"/>
        <v>773912.0772622216</v>
      </c>
      <c r="I13" s="22">
        <f t="shared" ca="1" si="3"/>
        <v>296221.82286379056</v>
      </c>
      <c r="J13" s="82">
        <f t="shared" ca="1" si="4"/>
        <v>2.7987997767313599E-2</v>
      </c>
      <c r="K13" s="82">
        <f t="shared" ca="1" si="5"/>
        <v>1.8153627943618841E-2</v>
      </c>
    </row>
    <row r="14" spans="1:14">
      <c r="A14">
        <f t="shared" si="6"/>
        <v>75</v>
      </c>
      <c r="B14" s="3">
        <v>12</v>
      </c>
      <c r="C14" s="22">
        <f ca="1">TSP!G15</f>
        <v>170896.35609937733</v>
      </c>
      <c r="D14" s="27">
        <f ca="1">'IRA &amp; svgs'!B13</f>
        <v>116383.77639556672</v>
      </c>
      <c r="E14" s="22">
        <f t="shared" ca="1" si="0"/>
        <v>343126.70588099613</v>
      </c>
      <c r="F14" s="22">
        <f t="shared" ca="1" si="1"/>
        <v>147696.58123597936</v>
      </c>
      <c r="G14" s="22">
        <f t="shared" ca="1" si="2"/>
        <v>778103.41961191955</v>
      </c>
      <c r="I14" s="22">
        <f t="shared" ca="1" si="3"/>
        <v>287280.13249494403</v>
      </c>
      <c r="J14" s="82">
        <f t="shared" ca="1" si="4"/>
        <v>3.3143519992517079E-2</v>
      </c>
      <c r="K14" s="82">
        <f t="shared" ca="1" si="5"/>
        <v>1.4600670852606861E-2</v>
      </c>
    </row>
    <row r="15" spans="1:14">
      <c r="A15">
        <f t="shared" si="6"/>
        <v>76</v>
      </c>
      <c r="B15" s="3">
        <v>13</v>
      </c>
      <c r="C15" s="22">
        <f ca="1">TSP!G16</f>
        <v>163828.4875976803</v>
      </c>
      <c r="D15" s="27">
        <f ca="1">'IRA &amp; svgs'!B14</f>
        <v>117102.23722863859</v>
      </c>
      <c r="E15" s="22">
        <f t="shared" ca="1" si="0"/>
        <v>362296.92175950413</v>
      </c>
      <c r="F15" s="22">
        <f t="shared" ca="1" si="1"/>
        <v>147123.68850859252</v>
      </c>
      <c r="G15" s="22">
        <f t="shared" ca="1" si="2"/>
        <v>790351.33509441558</v>
      </c>
      <c r="I15" s="22">
        <f t="shared" ca="1" si="3"/>
        <v>280930.72482631891</v>
      </c>
      <c r="J15" s="82">
        <f t="shared" ca="1" si="4"/>
        <v>5.586920385368277E-2</v>
      </c>
      <c r="K15" s="82">
        <f t="shared" ca="1" si="5"/>
        <v>-3.8788489387680865E-3</v>
      </c>
    </row>
    <row r="16" spans="1:14">
      <c r="A16">
        <f t="shared" si="6"/>
        <v>77</v>
      </c>
      <c r="B16" s="3">
        <v>14</v>
      </c>
      <c r="C16" s="22">
        <f ca="1">TSP!G17</f>
        <v>162140.41157315258</v>
      </c>
      <c r="D16" s="27">
        <f ca="1">'IRA &amp; svgs'!B15</f>
        <v>120142.51022648334</v>
      </c>
      <c r="E16" s="22">
        <f t="shared" ca="1" si="0"/>
        <v>362882.40747179068</v>
      </c>
      <c r="F16" s="22">
        <f t="shared" ca="1" si="1"/>
        <v>147768.96483535226</v>
      </c>
      <c r="G16" s="22">
        <f t="shared" ca="1" si="2"/>
        <v>792934.29410677892</v>
      </c>
      <c r="I16" s="22">
        <f t="shared" ca="1" si="3"/>
        <v>282282.92179963592</v>
      </c>
      <c r="J16" s="82">
        <f t="shared" ca="1" si="4"/>
        <v>1.6160383296747892E-3</v>
      </c>
      <c r="K16" s="82">
        <f t="shared" ca="1" si="5"/>
        <v>4.38594446143231E-3</v>
      </c>
    </row>
    <row r="17" spans="1:11">
      <c r="A17">
        <f t="shared" si="6"/>
        <v>78</v>
      </c>
      <c r="B17" s="3">
        <v>15</v>
      </c>
      <c r="C17" s="22">
        <f ca="1">TSP!G18</f>
        <v>165504.7905083478</v>
      </c>
      <c r="D17" s="27">
        <f ca="1">'IRA &amp; svgs'!B16</f>
        <v>119931.19613610127</v>
      </c>
      <c r="E17" s="22">
        <f t="shared" ca="1" si="0"/>
        <v>379173.40149198408</v>
      </c>
      <c r="F17" s="22">
        <f t="shared" ca="1" si="1"/>
        <v>147625.45801562507</v>
      </c>
      <c r="G17" s="22">
        <f t="shared" ca="1" si="2"/>
        <v>812234.84615205834</v>
      </c>
      <c r="I17" s="22">
        <f t="shared" ca="1" si="3"/>
        <v>285435.98664444906</v>
      </c>
      <c r="J17" s="82">
        <f t="shared" ca="1" si="4"/>
        <v>4.4893314431231603E-2</v>
      </c>
      <c r="K17" s="82">
        <f t="shared" ca="1" si="5"/>
        <v>-9.7115669644910751E-4</v>
      </c>
    </row>
    <row r="18" spans="1:11">
      <c r="A18">
        <f t="shared" si="6"/>
        <v>79</v>
      </c>
      <c r="B18" s="3">
        <v>16</v>
      </c>
      <c r="C18" s="22">
        <f ca="1">TSP!G19</f>
        <v>174078.51718811088</v>
      </c>
      <c r="D18" s="27">
        <f ca="1">'IRA &amp; svgs'!B17</f>
        <v>116395.59130758033</v>
      </c>
      <c r="E18" s="22">
        <f t="shared" ca="1" si="0"/>
        <v>379355.51783023868</v>
      </c>
      <c r="F18" s="22">
        <f t="shared" ca="1" si="1"/>
        <v>150303.62512610829</v>
      </c>
      <c r="G18" s="22">
        <f t="shared" ca="1" si="2"/>
        <v>820133.25145203818</v>
      </c>
      <c r="I18" s="22">
        <f t="shared" ca="1" si="3"/>
        <v>290474.10849569121</v>
      </c>
      <c r="J18" s="82">
        <f t="shared" ca="1" si="4"/>
        <v>4.8029829502278961E-4</v>
      </c>
      <c r="K18" s="82">
        <f t="shared" ca="1" si="5"/>
        <v>1.8141634556010977E-2</v>
      </c>
    </row>
    <row r="19" spans="1:11">
      <c r="A19">
        <f t="shared" si="6"/>
        <v>80</v>
      </c>
      <c r="B19" s="3">
        <v>17</v>
      </c>
      <c r="C19" s="22">
        <f ca="1">TSP!G20</f>
        <v>183959.64456108926</v>
      </c>
      <c r="D19" s="27">
        <f ca="1">'IRA &amp; svgs'!B18</f>
        <v>109737.56664398721</v>
      </c>
      <c r="E19" s="22">
        <f t="shared" ca="1" si="0"/>
        <v>391106.95850534446</v>
      </c>
      <c r="F19" s="22">
        <f t="shared" ca="1" si="1"/>
        <v>152741.84254298822</v>
      </c>
      <c r="G19" s="22">
        <f t="shared" ca="1" si="2"/>
        <v>837546.01225340925</v>
      </c>
      <c r="I19" s="22">
        <f t="shared" ca="1" si="3"/>
        <v>293697.21120507648</v>
      </c>
      <c r="J19" s="82">
        <f t="shared" ca="1" si="4"/>
        <v>3.0977381698094896E-2</v>
      </c>
      <c r="K19" s="82">
        <f t="shared" ca="1" si="5"/>
        <v>1.622194684149629E-2</v>
      </c>
    </row>
    <row r="20" spans="1:11">
      <c r="A20">
        <f t="shared" si="6"/>
        <v>81</v>
      </c>
      <c r="B20" s="3">
        <v>18</v>
      </c>
      <c r="C20" s="22">
        <f ca="1">TSP!G21</f>
        <v>195313.90115617603</v>
      </c>
      <c r="D20" s="27">
        <f ca="1">'IRA &amp; svgs'!B19</f>
        <v>106136.27747050607</v>
      </c>
      <c r="E20" s="22">
        <f t="shared" ca="1" si="0"/>
        <v>401367.50407472503</v>
      </c>
      <c r="F20" s="22">
        <f t="shared" ca="1" si="1"/>
        <v>153134.34861014414</v>
      </c>
      <c r="G20" s="22">
        <f t="shared" ca="1" si="2"/>
        <v>855952.03131155123</v>
      </c>
      <c r="I20" s="22">
        <f t="shared" ca="1" si="3"/>
        <v>301450.17862668209</v>
      </c>
      <c r="J20" s="82">
        <f t="shared" ca="1" si="4"/>
        <v>2.6234628012225317E-2</v>
      </c>
      <c r="K20" s="82">
        <f t="shared" ca="1" si="5"/>
        <v>2.5697350550518295E-3</v>
      </c>
    </row>
    <row r="21" spans="1:11">
      <c r="A21">
        <f t="shared" si="6"/>
        <v>82</v>
      </c>
      <c r="B21" s="3">
        <v>19</v>
      </c>
      <c r="C21" s="22">
        <f ca="1">TSP!G22</f>
        <v>208337.51646924732</v>
      </c>
      <c r="D21" s="27">
        <f ca="1">'IRA &amp; svgs'!B20</f>
        <v>105241.24276350815</v>
      </c>
      <c r="E21" s="22">
        <f t="shared" ca="1" si="0"/>
        <v>416683.65580617927</v>
      </c>
      <c r="F21" s="22">
        <f t="shared" ca="1" si="1"/>
        <v>156503.52914714944</v>
      </c>
      <c r="G21" s="22">
        <f t="shared" ca="1" si="2"/>
        <v>886765.94418608409</v>
      </c>
      <c r="I21" s="22">
        <f t="shared" ca="1" si="3"/>
        <v>313578.75923275546</v>
      </c>
      <c r="J21" s="82">
        <f t="shared" ca="1" si="4"/>
        <v>3.8159919714384039E-2</v>
      </c>
      <c r="K21" s="82">
        <f t="shared" ca="1" si="5"/>
        <v>2.2001468433334351E-2</v>
      </c>
    </row>
    <row r="22" spans="1:11">
      <c r="A22">
        <f t="shared" si="6"/>
        <v>83</v>
      </c>
      <c r="B22" s="3">
        <v>20</v>
      </c>
      <c r="C22" s="22">
        <f ca="1">TSP!G23</f>
        <v>221277.96507142152</v>
      </c>
      <c r="D22" s="27">
        <f ca="1">'IRA &amp; svgs'!B21</f>
        <v>106920.00081783111</v>
      </c>
      <c r="E22" s="22">
        <f t="shared" ca="1" si="0"/>
        <v>433940.40366574383</v>
      </c>
      <c r="F22" s="22">
        <f t="shared" ca="1" si="1"/>
        <v>156858.565004612</v>
      </c>
      <c r="G22" s="22">
        <f t="shared" ca="1" si="2"/>
        <v>918996.93455960846</v>
      </c>
      <c r="I22" s="22">
        <f t="shared" ca="1" si="3"/>
        <v>328197.96588925261</v>
      </c>
      <c r="J22" s="82">
        <f t="shared" ca="1" si="4"/>
        <v>4.1414506230576784E-2</v>
      </c>
      <c r="K22" s="82">
        <f t="shared" ca="1" si="5"/>
        <v>2.2685485713790851E-3</v>
      </c>
    </row>
    <row r="23" spans="1:11">
      <c r="A23">
        <f t="shared" si="6"/>
        <v>84</v>
      </c>
      <c r="B23" s="3">
        <v>21</v>
      </c>
      <c r="C23" s="22">
        <f ca="1">TSP!G24</f>
        <v>234011.48970165203</v>
      </c>
      <c r="D23" s="27">
        <f ca="1">'IRA &amp; svgs'!B22</f>
        <v>108446.97270957284</v>
      </c>
      <c r="E23" s="22">
        <f t="shared" ca="1" si="0"/>
        <v>446276.56736502622</v>
      </c>
      <c r="F23" s="22">
        <f t="shared" ca="1" si="1"/>
        <v>157090.23805215934</v>
      </c>
      <c r="G23" s="22">
        <f t="shared" ca="1" si="2"/>
        <v>945825.26782841037</v>
      </c>
      <c r="I23" s="22">
        <f t="shared" ca="1" si="3"/>
        <v>342458.46241122484</v>
      </c>
      <c r="J23" s="82">
        <f t="shared" ca="1" si="4"/>
        <v>2.84282440516525E-2</v>
      </c>
      <c r="K23" s="82">
        <f t="shared" ca="1" si="5"/>
        <v>1.4769550361533584E-3</v>
      </c>
    </row>
    <row r="24" spans="1:11">
      <c r="A24">
        <f t="shared" si="6"/>
        <v>85</v>
      </c>
      <c r="B24" s="3">
        <v>22</v>
      </c>
      <c r="C24" s="22">
        <f ca="1">TSP!G25</f>
        <v>246408.91630307343</v>
      </c>
      <c r="D24" s="27">
        <f ca="1">'IRA &amp; svgs'!B23</f>
        <v>109814.63688920706</v>
      </c>
      <c r="E24" s="22">
        <f t="shared" ca="1" si="0"/>
        <v>471790.54275673907</v>
      </c>
      <c r="F24" s="22">
        <f t="shared" ca="1" si="1"/>
        <v>161312.8026345495</v>
      </c>
      <c r="G24" s="22">
        <f t="shared" ca="1" si="2"/>
        <v>989326.8985835691</v>
      </c>
      <c r="I24" s="22">
        <f t="shared" ca="1" si="3"/>
        <v>356223.55319228047</v>
      </c>
      <c r="J24" s="82">
        <f t="shared" ca="1" si="4"/>
        <v>5.7170770901901341E-2</v>
      </c>
      <c r="K24" s="82">
        <f t="shared" ca="1" si="5"/>
        <v>2.6879866214144517E-2</v>
      </c>
    </row>
    <row r="25" spans="1:11">
      <c r="A25">
        <f t="shared" si="6"/>
        <v>86</v>
      </c>
      <c r="B25" s="3">
        <v>23</v>
      </c>
      <c r="C25" s="22">
        <f ca="1">TSP!G26</f>
        <v>254312.14296722252</v>
      </c>
      <c r="D25" s="27">
        <f ca="1">'IRA &amp; svgs'!B24</f>
        <v>111016.14999670902</v>
      </c>
      <c r="E25" s="22">
        <f t="shared" ca="1" si="0"/>
        <v>472447.26993145869</v>
      </c>
      <c r="F25" s="22">
        <f t="shared" ca="1" si="1"/>
        <v>163265.4246351475</v>
      </c>
      <c r="G25" s="22">
        <f t="shared" ca="1" si="2"/>
        <v>1001040.9875305376</v>
      </c>
      <c r="I25" s="22">
        <f t="shared" ca="1" si="3"/>
        <v>365328.29296393157</v>
      </c>
      <c r="J25" s="82">
        <f t="shared" ca="1" si="4"/>
        <v>1.3919888492936216E-3</v>
      </c>
      <c r="K25" s="82">
        <f t="shared" ca="1" si="5"/>
        <v>1.210456931320948E-2</v>
      </c>
    </row>
    <row r="26" spans="1:11">
      <c r="A26">
        <f t="shared" si="6"/>
        <v>87</v>
      </c>
      <c r="B26" s="3">
        <v>24</v>
      </c>
      <c r="C26" s="22">
        <f ca="1">TSP!G27</f>
        <v>257152.65486725236</v>
      </c>
      <c r="D26" s="27">
        <f ca="1">'IRA &amp; svgs'!B25</f>
        <v>113041.8157774546</v>
      </c>
      <c r="E26" s="22">
        <f t="shared" ca="1" si="0"/>
        <v>490418.37784192822</v>
      </c>
      <c r="F26" s="22">
        <f t="shared" ca="1" si="1"/>
        <v>167656.00694861801</v>
      </c>
      <c r="G26" s="22">
        <f t="shared" ca="1" si="2"/>
        <v>1028268.8554352531</v>
      </c>
      <c r="I26" s="22">
        <f t="shared" ca="1" si="3"/>
        <v>370194.47064470698</v>
      </c>
      <c r="J26" s="82">
        <f t="shared" ca="1" si="4"/>
        <v>3.8038335819099427E-2</v>
      </c>
      <c r="K26" s="82">
        <f t="shared" ca="1" si="5"/>
        <v>2.6892297149149841E-2</v>
      </c>
    </row>
    <row r="27" spans="1:11">
      <c r="A27">
        <f t="shared" si="6"/>
        <v>88</v>
      </c>
      <c r="B27" s="3">
        <v>25</v>
      </c>
      <c r="C27" s="22">
        <f ca="1">TSP!G28</f>
        <v>254649.31496298139</v>
      </c>
      <c r="D27" s="27">
        <f ca="1">'IRA &amp; svgs'!B26</f>
        <v>115930.24772302197</v>
      </c>
      <c r="E27" s="22">
        <f t="shared" ca="1" si="0"/>
        <v>514201.05980506871</v>
      </c>
      <c r="F27" s="22">
        <f t="shared" ca="1" si="1"/>
        <v>169768.75942547226</v>
      </c>
      <c r="G27" s="22">
        <f t="shared" ca="1" si="2"/>
        <v>1054549.3819165444</v>
      </c>
      <c r="I27" s="22">
        <f t="shared" ca="1" si="3"/>
        <v>370579.56268600334</v>
      </c>
      <c r="J27" s="82">
        <f t="shared" ca="1" si="4"/>
        <v>4.8494679314008485E-2</v>
      </c>
      <c r="K27" s="82">
        <f t="shared" ca="1" si="5"/>
        <v>1.2601710581725508E-2</v>
      </c>
    </row>
    <row r="28" spans="1:11">
      <c r="A28">
        <f t="shared" si="6"/>
        <v>89</v>
      </c>
      <c r="B28" s="3">
        <v>26</v>
      </c>
      <c r="C28" s="22">
        <f ca="1">TSP!G29</f>
        <v>255674.78897392738</v>
      </c>
      <c r="D28" s="27">
        <f ca="1">'IRA &amp; svgs'!B27</f>
        <v>119739.39011006997</v>
      </c>
      <c r="E28" s="22">
        <f t="shared" ca="1" si="0"/>
        <v>529849.72857944772</v>
      </c>
      <c r="F28" s="22">
        <f t="shared" ca="1" si="1"/>
        <v>172112.82941438854</v>
      </c>
      <c r="G28" s="22">
        <f t="shared" ca="1" si="2"/>
        <v>1077376.7370778336</v>
      </c>
      <c r="I28" s="22">
        <f t="shared" ca="1" si="3"/>
        <v>375414.17908399738</v>
      </c>
      <c r="J28" s="82">
        <f t="shared" ca="1" si="4"/>
        <v>3.0432976509833332E-2</v>
      </c>
      <c r="K28" s="82">
        <f t="shared" ca="1" si="5"/>
        <v>1.3807428391707824E-2</v>
      </c>
    </row>
    <row r="29" spans="1:11">
      <c r="A29">
        <f t="shared" si="6"/>
        <v>90</v>
      </c>
      <c r="B29" s="3">
        <v>27</v>
      </c>
      <c r="C29" s="22">
        <f ca="1">TSP!G30</f>
        <v>260222.94928985092</v>
      </c>
      <c r="D29" s="27">
        <f ca="1">'IRA &amp; svgs'!B28</f>
        <v>121010.29272923987</v>
      </c>
      <c r="E29" s="22">
        <f t="shared" ca="1" si="0"/>
        <v>542858.12408615998</v>
      </c>
      <c r="F29" s="22">
        <f t="shared" ca="1" si="1"/>
        <v>170995.2606762631</v>
      </c>
      <c r="G29" s="22">
        <f t="shared" ca="1" si="2"/>
        <v>1095086.6267815139</v>
      </c>
      <c r="I29" s="22">
        <f t="shared" ca="1" si="3"/>
        <v>381233.2420190908</v>
      </c>
      <c r="J29" s="82">
        <f t="shared" ca="1" si="4"/>
        <v>2.4551103463973354E-2</v>
      </c>
      <c r="K29" s="82">
        <f t="shared" ca="1" si="5"/>
        <v>-6.4932332001509958E-3</v>
      </c>
    </row>
    <row r="30" spans="1:11">
      <c r="A30">
        <f t="shared" si="6"/>
        <v>91</v>
      </c>
      <c r="B30" s="3">
        <v>28</v>
      </c>
      <c r="C30" s="22">
        <f ca="1">TSP!G31</f>
        <v>268433.16393641982</v>
      </c>
      <c r="D30" s="27">
        <f ca="1">'IRA &amp; svgs'!B29</f>
        <v>119603.01804892992</v>
      </c>
      <c r="E30" s="22">
        <f t="shared" ca="1" si="0"/>
        <v>556964.24673019606</v>
      </c>
      <c r="F30" s="22">
        <f t="shared" ca="1" si="1"/>
        <v>174852.48842772411</v>
      </c>
      <c r="G30" s="22">
        <f t="shared" ca="1" si="2"/>
        <v>1119852.9171432699</v>
      </c>
      <c r="I30" s="22">
        <f t="shared" ca="1" si="3"/>
        <v>388036.18198534974</v>
      </c>
      <c r="J30" s="82">
        <f t="shared" ca="1" si="4"/>
        <v>2.5984915796889219E-2</v>
      </c>
      <c r="K30" s="82">
        <f t="shared" ca="1" si="5"/>
        <v>2.2557512624655204E-2</v>
      </c>
    </row>
    <row r="31" spans="1:11">
      <c r="A31">
        <f t="shared" si="6"/>
        <v>92</v>
      </c>
      <c r="B31" s="3">
        <v>29</v>
      </c>
      <c r="C31" s="22">
        <f ca="1">TSP!G32</f>
        <v>278052.56616720266</v>
      </c>
      <c r="D31" s="27">
        <f ca="1">'IRA &amp; svgs'!B30</f>
        <v>115551.74497346023</v>
      </c>
      <c r="E31" s="22">
        <f t="shared" ca="1" si="0"/>
        <v>564414.4684889639</v>
      </c>
      <c r="F31" s="22">
        <f t="shared" ca="1" si="1"/>
        <v>176969.6441948771</v>
      </c>
      <c r="G31" s="22">
        <f t="shared" ca="1" si="2"/>
        <v>1134988.4238245038</v>
      </c>
      <c r="I31" s="22">
        <f t="shared" ca="1" si="3"/>
        <v>393604.31114066287</v>
      </c>
      <c r="J31" s="82">
        <f t="shared" ca="1" si="4"/>
        <v>1.3376481170032531E-2</v>
      </c>
      <c r="K31" s="82">
        <f t="shared" ca="1" si="5"/>
        <v>1.210823927180261E-2</v>
      </c>
    </row>
    <row r="32" spans="1:11">
      <c r="A32">
        <f t="shared" si="6"/>
        <v>93</v>
      </c>
      <c r="B32" s="3">
        <v>30</v>
      </c>
      <c r="C32" s="22">
        <f ca="1">TSP!G33</f>
        <v>289208.04890654591</v>
      </c>
      <c r="D32" s="27">
        <f ca="1">'IRA &amp; svgs'!B31</f>
        <v>113213.8643939395</v>
      </c>
      <c r="E32" s="22">
        <f t="shared" ca="1" si="0"/>
        <v>571879.20451303513</v>
      </c>
      <c r="F32" s="22">
        <f t="shared" ca="1" si="1"/>
        <v>181914.0000155108</v>
      </c>
      <c r="G32" s="22">
        <f t="shared" ca="1" si="2"/>
        <v>1156215.1178290313</v>
      </c>
      <c r="I32" s="22">
        <f t="shared" ca="1" si="3"/>
        <v>402421.91330048541</v>
      </c>
      <c r="J32" s="82">
        <f t="shared" ca="1" si="4"/>
        <v>1.3225628400447746E-2</v>
      </c>
      <c r="K32" s="82">
        <f t="shared" ca="1" si="5"/>
        <v>2.7939005263462206E-2</v>
      </c>
    </row>
    <row r="33" spans="1:11">
      <c r="A33">
        <f t="shared" si="6"/>
        <v>94</v>
      </c>
      <c r="B33" s="3">
        <v>31</v>
      </c>
      <c r="C33" s="22">
        <f ca="1">TSP!G34</f>
        <v>302050.25346871489</v>
      </c>
      <c r="D33" s="27">
        <f ca="1">'IRA &amp; svgs'!B32</f>
        <v>112467.56016727418</v>
      </c>
      <c r="E33" s="22">
        <f t="shared" ca="1" si="0"/>
        <v>586892.96667227987</v>
      </c>
      <c r="F33" s="22">
        <f t="shared" ca="1" si="1"/>
        <v>181471.9894288861</v>
      </c>
      <c r="G33" s="22">
        <f t="shared" ca="1" si="2"/>
        <v>1182882.7697371552</v>
      </c>
      <c r="I33" s="22">
        <f t="shared" ca="1" si="3"/>
        <v>414517.81363598909</v>
      </c>
      <c r="J33" s="82">
        <f t="shared" ca="1" si="4"/>
        <v>2.6253380155743092E-2</v>
      </c>
      <c r="K33" s="82">
        <f t="shared" ca="1" si="5"/>
        <v>-2.429777733363103E-3</v>
      </c>
    </row>
    <row r="34" spans="1:11">
      <c r="A34">
        <f t="shared" si="6"/>
        <v>95</v>
      </c>
      <c r="B34" s="3">
        <v>32</v>
      </c>
      <c r="C34" s="22">
        <f ca="1">TSP!G35</f>
        <v>307267.75900043373</v>
      </c>
      <c r="D34" s="27">
        <f ca="1">'IRA &amp; svgs'!B33</f>
        <v>113260.27131513806</v>
      </c>
      <c r="E34" s="22">
        <f t="shared" ca="1" si="0"/>
        <v>608900.1449538141</v>
      </c>
      <c r="F34" s="22">
        <f t="shared" ca="1" si="1"/>
        <v>183913.42497066769</v>
      </c>
      <c r="G34" s="22">
        <f t="shared" ca="1" si="2"/>
        <v>1213341.6002400536</v>
      </c>
      <c r="I34" s="22">
        <f t="shared" ca="1" si="3"/>
        <v>420528.03031557181</v>
      </c>
      <c r="J34" s="82">
        <f t="shared" ca="1" si="4"/>
        <v>3.7497771367607874E-2</v>
      </c>
      <c r="K34" s="82">
        <f t="shared" ca="1" si="5"/>
        <v>1.3453511748369991E-2</v>
      </c>
    </row>
    <row r="35" spans="1:11">
      <c r="A35">
        <f t="shared" si="6"/>
        <v>96</v>
      </c>
      <c r="B35" s="3">
        <v>33</v>
      </c>
      <c r="C35" s="22">
        <f ca="1">TSP!G36</f>
        <v>304238.87956079625</v>
      </c>
      <c r="D35" s="27">
        <f ca="1">'IRA &amp; svgs'!B34</f>
        <v>114059.87336769378</v>
      </c>
      <c r="E35" s="22">
        <f t="shared" ca="1" si="0"/>
        <v>615082.31497296097</v>
      </c>
      <c r="F35" s="22">
        <f t="shared" ca="1" si="1"/>
        <v>188621.09847872204</v>
      </c>
      <c r="G35" s="22">
        <f t="shared" ca="1" si="2"/>
        <v>1222002.1663801731</v>
      </c>
      <c r="I35" s="22">
        <f t="shared" ca="1" si="3"/>
        <v>418298.75292849005</v>
      </c>
      <c r="J35" s="82">
        <f t="shared" ca="1" si="4"/>
        <v>1.0153011245572467E-2</v>
      </c>
      <c r="K35" s="82">
        <f t="shared" ca="1" si="5"/>
        <v>2.5597226025262675E-2</v>
      </c>
    </row>
    <row r="36" spans="1:11">
      <c r="A36">
        <f t="shared" si="6"/>
        <v>97</v>
      </c>
      <c r="B36" s="3">
        <v>34</v>
      </c>
      <c r="C36" s="22">
        <f ca="1">TSP!G37</f>
        <v>292985.52373551851</v>
      </c>
      <c r="D36" s="27">
        <f ca="1">'IRA &amp; svgs'!B35</f>
        <v>114866.43330089631</v>
      </c>
      <c r="E36" s="22">
        <f t="shared" ca="1" si="0"/>
        <v>636923.67963891604</v>
      </c>
      <c r="F36" s="22">
        <f t="shared" ca="1" si="1"/>
        <v>191631.86731708699</v>
      </c>
      <c r="G36" s="22">
        <f t="shared" ca="1" si="2"/>
        <v>1236407.5039924178</v>
      </c>
      <c r="I36" s="22">
        <f t="shared" ca="1" si="3"/>
        <v>407851.95703641482</v>
      </c>
      <c r="J36" s="82">
        <f t="shared" ca="1" si="4"/>
        <v>3.5509661283165267E-2</v>
      </c>
      <c r="K36" s="82">
        <f t="shared" ca="1" si="5"/>
        <v>1.5961993979716878E-2</v>
      </c>
    </row>
    <row r="37" spans="1:11">
      <c r="A37">
        <f t="shared" si="6"/>
        <v>98</v>
      </c>
      <c r="B37" s="3">
        <v>35</v>
      </c>
      <c r="C37" s="22">
        <f ca="1">TSP!G38</f>
        <v>281854.30976540619</v>
      </c>
      <c r="D37" s="27">
        <f ca="1">'IRA &amp; svgs'!B36</f>
        <v>115680.01880302103</v>
      </c>
      <c r="E37" s="22">
        <f t="shared" ca="1" si="0"/>
        <v>650577.98574828566</v>
      </c>
      <c r="F37" s="22">
        <f t="shared" ca="1" si="1"/>
        <v>192970.15409449631</v>
      </c>
      <c r="G37" s="22">
        <f t="shared" ca="1" si="2"/>
        <v>1241082.4684112093</v>
      </c>
      <c r="I37" s="22">
        <f t="shared" ca="1" si="3"/>
        <v>397534.32856842724</v>
      </c>
      <c r="J37" s="82">
        <f t="shared" ca="1" si="4"/>
        <v>2.143789993349049E-2</v>
      </c>
      <c r="K37" s="82">
        <f t="shared" ca="1" si="5"/>
        <v>6.9836337564612109E-3</v>
      </c>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12"/>
  </sheetPr>
  <dimension ref="A1:X37"/>
  <sheetViews>
    <sheetView zoomScaleNormal="100" workbookViewId="0">
      <selection activeCell="E4" sqref="E4"/>
    </sheetView>
  </sheetViews>
  <sheetFormatPr defaultRowHeight="12"/>
  <cols>
    <col min="1" max="1" width="7.28515625" style="3" customWidth="1"/>
    <col min="2" max="2" width="9.140625" style="3"/>
    <col min="3" max="3" width="9.42578125" style="3" bestFit="1" customWidth="1"/>
    <col min="4" max="10" width="9.140625" style="3"/>
    <col min="11" max="11" width="9.5703125" style="3" customWidth="1"/>
    <col min="12" max="12" width="3.7109375" style="3" customWidth="1"/>
    <col min="13" max="13" width="8.28515625" style="3" customWidth="1"/>
    <col min="14" max="15" width="7.85546875" style="3" customWidth="1"/>
    <col min="16" max="16" width="0" style="3" hidden="1" customWidth="1"/>
    <col min="17" max="17" width="7.85546875" style="3" customWidth="1"/>
    <col min="18" max="18" width="8" style="3" customWidth="1"/>
    <col min="19" max="19" width="9.140625" style="3" hidden="1" customWidth="1"/>
    <col min="20" max="20" width="7.5703125" style="3" customWidth="1"/>
    <col min="21" max="21" width="9.140625" style="3" hidden="1" customWidth="1"/>
    <col min="22" max="22" width="8.140625" style="3" customWidth="1"/>
    <col min="23" max="23" width="9.140625" style="3"/>
    <col min="24" max="24" width="10.140625" style="3" customWidth="1"/>
    <col min="25" max="16384" width="9.140625" style="3"/>
  </cols>
  <sheetData>
    <row r="1" spans="1:24" s="9" customFormat="1" ht="24.75" thickBot="1">
      <c r="C1" s="146" t="s">
        <v>111</v>
      </c>
      <c r="D1" s="147"/>
      <c r="E1" s="147"/>
      <c r="F1" s="147"/>
      <c r="G1" s="147"/>
      <c r="H1" s="147"/>
      <c r="I1" s="147"/>
      <c r="J1" s="148"/>
      <c r="K1" s="18" t="s">
        <v>112</v>
      </c>
      <c r="M1" s="149" t="s">
        <v>109</v>
      </c>
      <c r="N1" s="149"/>
      <c r="O1" s="149"/>
      <c r="P1" s="149"/>
      <c r="Q1" s="149"/>
      <c r="R1" s="149"/>
      <c r="S1" s="149"/>
      <c r="T1" s="149"/>
      <c r="U1" s="149"/>
      <c r="V1" s="149"/>
      <c r="W1" s="9" t="s">
        <v>181</v>
      </c>
      <c r="X1" s="9" t="s">
        <v>182</v>
      </c>
    </row>
    <row r="2" spans="1:24" s="2" customFormat="1" ht="36">
      <c r="A2" s="2" t="s">
        <v>187</v>
      </c>
      <c r="B2" s="2" t="s">
        <v>6</v>
      </c>
      <c r="C2" s="10" t="s">
        <v>258</v>
      </c>
      <c r="D2" s="11" t="s">
        <v>257</v>
      </c>
      <c r="E2" s="11" t="s">
        <v>1</v>
      </c>
      <c r="F2" s="11" t="s">
        <v>2</v>
      </c>
      <c r="G2" s="11" t="s">
        <v>3</v>
      </c>
      <c r="H2" s="11" t="s">
        <v>4</v>
      </c>
      <c r="I2" s="11" t="s">
        <v>179</v>
      </c>
      <c r="J2" s="12" t="s">
        <v>5</v>
      </c>
      <c r="K2" s="19" t="s">
        <v>5</v>
      </c>
      <c r="M2" s="2" t="s">
        <v>265</v>
      </c>
      <c r="N2" s="113" t="s">
        <v>223</v>
      </c>
      <c r="O2" s="2" t="s">
        <v>266</v>
      </c>
      <c r="P2" s="113" t="s">
        <v>224</v>
      </c>
      <c r="Q2" s="2" t="s">
        <v>2</v>
      </c>
      <c r="R2" s="2" t="s">
        <v>226</v>
      </c>
      <c r="S2" s="113" t="s">
        <v>225</v>
      </c>
      <c r="T2" s="2" t="s">
        <v>228</v>
      </c>
      <c r="U2" s="113" t="s">
        <v>227</v>
      </c>
      <c r="V2" s="2" t="s">
        <v>110</v>
      </c>
      <c r="W2" s="2" t="s">
        <v>1</v>
      </c>
      <c r="X2" s="2" t="s">
        <v>1</v>
      </c>
    </row>
    <row r="3" spans="1:24">
      <c r="A3" s="3">
        <f>'Q&amp;A'!A4</f>
        <v>64</v>
      </c>
      <c r="B3" s="3">
        <v>1</v>
      </c>
      <c r="C3" s="13">
        <f>'Soc Sec'!K3</f>
        <v>1757.3009999999997</v>
      </c>
      <c r="D3" s="14">
        <f ca="1">'Soc Sec'!Q3</f>
        <v>626.11135190441951</v>
      </c>
      <c r="E3" s="14">
        <f ca="1">TSP!F4</f>
        <v>729.37189372299019</v>
      </c>
      <c r="F3" s="14">
        <f>'FERS '!I44</f>
        <v>1687.9166666666667</v>
      </c>
      <c r="G3" s="14">
        <f>Rentals!D2</f>
        <v>700</v>
      </c>
      <c r="H3" s="14">
        <f ca="1">'IRA &amp; svgs'!G2</f>
        <v>611.36616314418859</v>
      </c>
      <c r="I3" s="14">
        <f>'PT work'!C2/12</f>
        <v>0</v>
      </c>
      <c r="J3" s="15">
        <f ca="1">SUM(C3:I3)</f>
        <v>6112.0670754382645</v>
      </c>
      <c r="K3" s="20">
        <f ca="1">J3*12</f>
        <v>73344.804905259167</v>
      </c>
      <c r="M3" s="66">
        <f ca="1">N3</f>
        <v>4.7366245181332187E-2</v>
      </c>
      <c r="N3" s="114">
        <f ca="1">'All Expenses'!S3</f>
        <v>4.7366245181332187E-2</v>
      </c>
      <c r="O3" s="66">
        <f ca="1">P3</f>
        <v>9.4057840584485408E-2</v>
      </c>
      <c r="P3" s="114">
        <f t="shared" ref="P3:P37" ca="1" si="0">RAND()*($X$3-$W$3)+$W$3</f>
        <v>9.4057840584485408E-2</v>
      </c>
      <c r="Q3" s="66">
        <f ca="1">'All Expenses'!R3-0.01</f>
        <v>3.7366245181332185E-2</v>
      </c>
      <c r="R3" s="66">
        <f ca="1">S3</f>
        <v>4.4914896009455732E-3</v>
      </c>
      <c r="S3" s="114">
        <f t="shared" ref="S3:S37" ca="1" si="1">RAND()*($X$9-$W$9)+$W$9</f>
        <v>4.4914896009455732E-3</v>
      </c>
      <c r="T3" s="66">
        <f ca="1">U3</f>
        <v>4.8056279675751989E-2</v>
      </c>
      <c r="U3" s="114">
        <f ca="1">RAND()*($X$6-$W$6)+$W$6</f>
        <v>4.8056279675751989E-2</v>
      </c>
      <c r="V3" s="8"/>
      <c r="W3" s="98">
        <f>'Q&amp;A'!A8</f>
        <v>-0.02</v>
      </c>
      <c r="X3" s="98">
        <f>'Q&amp;A'!A9</f>
        <v>0.12</v>
      </c>
    </row>
    <row r="4" spans="1:24">
      <c r="A4" s="3">
        <f>A3+1</f>
        <v>65</v>
      </c>
      <c r="B4" s="3">
        <v>2</v>
      </c>
      <c r="C4" s="13">
        <f ca="1">'Soc Sec'!K4</f>
        <v>1840.5377500233999</v>
      </c>
      <c r="D4" s="14">
        <f ca="1">'Soc Sec'!Q4</f>
        <v>659.42262294300576</v>
      </c>
      <c r="E4" s="14">
        <f ca="1">TSP!F5</f>
        <v>757.39927628677151</v>
      </c>
      <c r="F4" s="14">
        <f t="shared" ref="F4:F37" ca="1" si="2">F3*(1+Q4)</f>
        <v>1760.8404550220705</v>
      </c>
      <c r="G4" s="14">
        <f ca="1">Rentals!D3</f>
        <v>702.15708914208221</v>
      </c>
      <c r="H4" s="14">
        <f ca="1">'IRA &amp; svgs'!G3</f>
        <v>605.85452891801708</v>
      </c>
      <c r="I4" s="14">
        <f>'PT work'!C3/12</f>
        <v>0</v>
      </c>
      <c r="J4" s="15">
        <f t="shared" ref="J4:J37" ca="1" si="3">SUM(C4:I4)</f>
        <v>6326.211722335348</v>
      </c>
      <c r="K4" s="20">
        <f t="shared" ref="K4:K37" ca="1" si="4">J4*12</f>
        <v>75914.540668024172</v>
      </c>
      <c r="M4" s="66">
        <f ca="1">N3-(N3-N6)/3</f>
        <v>5.3203429289797315E-2</v>
      </c>
      <c r="N4" s="114">
        <f ca="1">'All Expenses'!S4</f>
        <v>3.89748790017466E-2</v>
      </c>
      <c r="O4" s="66">
        <f ca="1">P3-(P3-P6)/3</f>
        <v>8.1694518605932201E-2</v>
      </c>
      <c r="P4" s="114">
        <f t="shared" ca="1" si="0"/>
        <v>3.7324306988559264E-2</v>
      </c>
      <c r="Q4" s="66">
        <f ca="1">'All Expenses'!R4-0.01</f>
        <v>4.3203429289797313E-2</v>
      </c>
      <c r="R4" s="66">
        <f ca="1">S3-(S3-S6)/3</f>
        <v>3.0815559172603551E-3</v>
      </c>
      <c r="S4" s="114">
        <f t="shared" ca="1" si="1"/>
        <v>1.8811205541034347E-2</v>
      </c>
      <c r="T4" s="66">
        <f ca="1">U3-(U3-U6)/3</f>
        <v>4.3141815548887963E-2</v>
      </c>
      <c r="U4" s="114">
        <f t="shared" ref="U4:U37" ca="1" si="5">RAND()*($X$6-$W$6)+$W$6</f>
        <v>4.6126734628056588E-2</v>
      </c>
      <c r="V4" s="8"/>
    </row>
    <row r="5" spans="1:24">
      <c r="A5" s="3">
        <f t="shared" ref="A5:A37" si="6">A4+1</f>
        <v>66</v>
      </c>
      <c r="B5" s="3">
        <v>3</v>
      </c>
      <c r="C5" s="13">
        <f ca="1">'Soc Sec'!K5</f>
        <v>1938.4606700619727</v>
      </c>
      <c r="D5" s="14">
        <f ca="1">'Soc Sec'!Q5</f>
        <v>698.35533909025196</v>
      </c>
      <c r="E5" s="14">
        <f ca="1">TSP!F6</f>
        <v>777.51424745898657</v>
      </c>
      <c r="F5" s="14">
        <f t="shared" ca="1" si="2"/>
        <v>1847.1931510328284</v>
      </c>
      <c r="G5" s="14">
        <f ca="1">Rentals!D4</f>
        <v>703.33083054375447</v>
      </c>
      <c r="H5" s="14">
        <f ca="1">'IRA &amp; svgs'!G4</f>
        <v>597.56400576031137</v>
      </c>
      <c r="I5" s="14">
        <f>'PT work'!C4/12</f>
        <v>0</v>
      </c>
      <c r="J5" s="15">
        <f t="shared" ca="1" si="3"/>
        <v>6562.4182439481056</v>
      </c>
      <c r="K5" s="20">
        <f t="shared" ca="1" si="4"/>
        <v>78749.01892737727</v>
      </c>
      <c r="M5" s="66">
        <f ca="1">N3-2*(N3-N6)/3</f>
        <v>5.9040613398262436E-2</v>
      </c>
      <c r="N5" s="114">
        <f ca="1">'All Expenses'!S5</f>
        <v>8.5525066957369583E-2</v>
      </c>
      <c r="O5" s="66">
        <f ca="1">P3-2*(P3-P6)/3</f>
        <v>6.9331196627379008E-2</v>
      </c>
      <c r="P5" s="114">
        <f t="shared" ca="1" si="0"/>
        <v>7.6454386149486797E-2</v>
      </c>
      <c r="Q5" s="66">
        <f ca="1">'All Expenses'!R5-0.01</f>
        <v>4.9040613398262434E-2</v>
      </c>
      <c r="R5" s="66">
        <f ca="1">S3-2*(S3-S6)/3</f>
        <v>1.6716222335751364E-3</v>
      </c>
      <c r="S5" s="114">
        <f t="shared" ca="1" si="1"/>
        <v>1.3304357839487569E-2</v>
      </c>
      <c r="T5" s="66">
        <f ca="1">U3-2*(U3-U6)/3</f>
        <v>3.8227351422023936E-2</v>
      </c>
      <c r="U5" s="114">
        <f t="shared" ca="1" si="5"/>
        <v>4.5767550611341301E-2</v>
      </c>
      <c r="V5" s="8"/>
      <c r="W5" s="80" t="s">
        <v>180</v>
      </c>
      <c r="X5" s="80" t="s">
        <v>180</v>
      </c>
    </row>
    <row r="6" spans="1:24">
      <c r="A6" s="3">
        <f t="shared" si="6"/>
        <v>67</v>
      </c>
      <c r="B6" s="3">
        <v>4</v>
      </c>
      <c r="C6" s="13">
        <f ca="1">'Soc Sec'!K6</f>
        <v>2052.9085770708384</v>
      </c>
      <c r="D6" s="14">
        <f ca="1">'Soc Sec'!Q6</f>
        <v>743.66309536749145</v>
      </c>
      <c r="E6" s="14">
        <f ca="1">TSP!F7</f>
        <v>788.93527838007003</v>
      </c>
      <c r="F6" s="14">
        <f t="shared" ca="1" si="2"/>
        <v>1948.5630427310221</v>
      </c>
      <c r="G6" s="14">
        <f ca="1">Rentals!D5</f>
        <v>703.51488416889231</v>
      </c>
      <c r="H6" s="14">
        <f ca="1">'IRA &amp; svgs'!G5</f>
        <v>586.59705872905658</v>
      </c>
      <c r="I6" s="14">
        <f>'PT work'!C5/12</f>
        <v>0</v>
      </c>
      <c r="J6" s="15">
        <f t="shared" ca="1" si="3"/>
        <v>6824.1819364473713</v>
      </c>
      <c r="K6" s="20">
        <f t="shared" ca="1" si="4"/>
        <v>81890.183237368459</v>
      </c>
      <c r="M6" s="66">
        <f t="shared" ref="M6" ca="1" si="7">N6</f>
        <v>6.4877797506727564E-2</v>
      </c>
      <c r="N6" s="114">
        <f ca="1">'All Expenses'!S6</f>
        <v>6.4877797506727564E-2</v>
      </c>
      <c r="O6" s="66">
        <f t="shared" ref="O6" ca="1" si="8">P6</f>
        <v>5.69678746488258E-2</v>
      </c>
      <c r="P6" s="114">
        <f t="shared" ca="1" si="0"/>
        <v>5.69678746488258E-2</v>
      </c>
      <c r="Q6" s="66">
        <f ca="1">'All Expenses'!R6-0.01</f>
        <v>5.4877797506727562E-2</v>
      </c>
      <c r="R6" s="66">
        <f t="shared" ref="R6" ca="1" si="9">S6</f>
        <v>2.6168854988991783E-4</v>
      </c>
      <c r="S6" s="114">
        <f t="shared" ca="1" si="1"/>
        <v>2.6168854988991783E-4</v>
      </c>
      <c r="T6" s="66">
        <f t="shared" ref="T6" ca="1" si="10">U6</f>
        <v>3.331288729515991E-2</v>
      </c>
      <c r="U6" s="114">
        <f t="shared" ca="1" si="5"/>
        <v>3.331288729515991E-2</v>
      </c>
      <c r="V6" s="8"/>
      <c r="W6" s="98">
        <f>'Q&amp;A'!A12</f>
        <v>-0.01</v>
      </c>
      <c r="X6" s="98">
        <f>'Q&amp;A'!A13</f>
        <v>0.09</v>
      </c>
    </row>
    <row r="7" spans="1:24">
      <c r="A7" s="3">
        <f t="shared" si="6"/>
        <v>68</v>
      </c>
      <c r="B7" s="3">
        <v>5</v>
      </c>
      <c r="C7" s="13">
        <f ca="1">'Soc Sec'!K7</f>
        <v>2186.0967640338645</v>
      </c>
      <c r="D7" s="14">
        <f ca="1">'Soc Sec'!Q7</f>
        <v>802.91290116593677</v>
      </c>
      <c r="E7" s="14">
        <f ca="1">TSP!F8</f>
        <v>785.24519893099705</v>
      </c>
      <c r="F7" s="14">
        <f t="shared" ca="1" si="2"/>
        <v>2084.3251079161837</v>
      </c>
      <c r="G7" s="14">
        <f ca="1">Rentals!D6</f>
        <v>712.25237085246499</v>
      </c>
      <c r="H7" s="14">
        <f ca="1">'IRA &amp; svgs'!G6</f>
        <v>576.89738663665128</v>
      </c>
      <c r="I7" s="14">
        <f>'PT work'!C6/12</f>
        <v>0</v>
      </c>
      <c r="J7" s="15">
        <f t="shared" ca="1" si="3"/>
        <v>7147.7297295360986</v>
      </c>
      <c r="K7" s="20">
        <f t="shared" ca="1" si="4"/>
        <v>85772.756754433183</v>
      </c>
      <c r="M7" s="66">
        <f t="shared" ref="M7" ca="1" si="11">N6-(N6-N9)/3</f>
        <v>7.9672913941179618E-2</v>
      </c>
      <c r="N7" s="114">
        <f ca="1">'All Expenses'!S7</f>
        <v>1.5961818282424999E-2</v>
      </c>
      <c r="O7" s="66">
        <f t="shared" ref="O7" ca="1" si="12">P6-(P6-P9)/3</f>
        <v>3.6794489106875494E-2</v>
      </c>
      <c r="P7" s="114">
        <f t="shared" ca="1" si="0"/>
        <v>8.3380966718284266E-2</v>
      </c>
      <c r="Q7" s="66">
        <f ca="1">'All Expenses'!R7-0.01</f>
        <v>6.9672913941179623E-2</v>
      </c>
      <c r="R7" s="66">
        <f t="shared" ref="R7" ca="1" si="13">S6-(S6-S9)/3</f>
        <v>1.2419760946344293E-2</v>
      </c>
      <c r="S7" s="114">
        <f t="shared" ca="1" si="1"/>
        <v>1.6057220606063235E-2</v>
      </c>
      <c r="T7" s="66">
        <f t="shared" ref="T7" ca="1" si="14">U6-(U6-U9)/3</f>
        <v>3.5225795883910782E-2</v>
      </c>
      <c r="U7" s="114">
        <f t="shared" ca="1" si="5"/>
        <v>1.177824065856555E-2</v>
      </c>
      <c r="V7" s="8"/>
    </row>
    <row r="8" spans="1:24">
      <c r="A8" s="3">
        <f t="shared" si="6"/>
        <v>69</v>
      </c>
      <c r="B8" s="3">
        <v>6</v>
      </c>
      <c r="C8" s="13">
        <f ca="1">'Soc Sec'!K8</f>
        <v>2360.269463381826</v>
      </c>
      <c r="D8" s="14">
        <f ca="1">'Soc Sec'!Q8</f>
        <v>878.76250150226713</v>
      </c>
      <c r="E8" s="14">
        <f ca="1">TSP!F9</f>
        <v>766.36496707803781</v>
      </c>
      <c r="F8" s="14">
        <f t="shared" ca="1" si="2"/>
        <v>2260.3839444443397</v>
      </c>
      <c r="G8" s="14">
        <f ca="1">Rentals!D7</f>
        <v>729.75799092129023</v>
      </c>
      <c r="H8" s="14">
        <f ca="1">'IRA &amp; svgs'!G7</f>
        <v>568.40647778050072</v>
      </c>
      <c r="I8" s="14">
        <f>'PT work'!C7/12</f>
        <v>0</v>
      </c>
      <c r="J8" s="15">
        <f t="shared" ca="1" si="3"/>
        <v>7563.9453451082609</v>
      </c>
      <c r="K8" s="20">
        <f t="shared" ca="1" si="4"/>
        <v>90767.344141299138</v>
      </c>
      <c r="M8" s="66">
        <f t="shared" ref="M8" ca="1" si="15">N6-2*(N6-N9)/3</f>
        <v>9.4468030375631687E-2</v>
      </c>
      <c r="N8" s="114">
        <f ca="1">'All Expenses'!S8</f>
        <v>1.4756077124416932E-3</v>
      </c>
      <c r="O8" s="66">
        <f t="shared" ref="O8" ca="1" si="16">P6-2*(P6-P9)/3</f>
        <v>1.6621103564925181E-2</v>
      </c>
      <c r="P8" s="114">
        <f t="shared" ca="1" si="0"/>
        <v>3.3987977155335802E-2</v>
      </c>
      <c r="Q8" s="66">
        <f ca="1">'All Expenses'!R8-0.01</f>
        <v>8.4468030375631692E-2</v>
      </c>
      <c r="R8" s="66">
        <f t="shared" ref="R8" ca="1" si="17">S6-2*(S6-S9)/3</f>
        <v>2.4577833342798668E-2</v>
      </c>
      <c r="S8" s="114">
        <f t="shared" ca="1" si="1"/>
        <v>1.6102083569758344E-2</v>
      </c>
      <c r="T8" s="66">
        <f t="shared" ref="T8" ca="1" si="18">U6-2*(U6-U9)/3</f>
        <v>3.7138704472661647E-2</v>
      </c>
      <c r="U8" s="114">
        <f t="shared" ca="1" si="5"/>
        <v>8.0929720130214808E-2</v>
      </c>
      <c r="V8" s="8"/>
      <c r="W8" s="3" t="s">
        <v>186</v>
      </c>
      <c r="X8" s="3" t="s">
        <v>186</v>
      </c>
    </row>
    <row r="9" spans="1:24">
      <c r="A9" s="3">
        <f t="shared" si="6"/>
        <v>70</v>
      </c>
      <c r="B9" s="3">
        <v>7</v>
      </c>
      <c r="C9" s="13">
        <f ca="1">'Soc Sec'!K9</f>
        <v>2583.2394707432563</v>
      </c>
      <c r="D9" s="14">
        <f ca="1">'Soc Sec'!Q9</f>
        <v>974.7788577151058</v>
      </c>
      <c r="E9" s="14">
        <f ca="1">TSP!F10</f>
        <v>733.0969177129565</v>
      </c>
      <c r="F9" s="14">
        <f t="shared" ca="1" si="2"/>
        <v>2484.7567677688744</v>
      </c>
      <c r="G9" s="14">
        <f ca="1">Rentals!D8</f>
        <v>756.56631168824151</v>
      </c>
      <c r="H9" s="14">
        <f ca="1">'IRA &amp; svgs'!G8</f>
        <v>561.07348423176597</v>
      </c>
      <c r="I9" s="14">
        <f>'PT work'!C8/12</f>
        <v>0</v>
      </c>
      <c r="J9" s="15">
        <f t="shared" ca="1" si="3"/>
        <v>8093.5118098602015</v>
      </c>
      <c r="K9" s="20">
        <f t="shared" ca="1" si="4"/>
        <v>97122.141718322411</v>
      </c>
      <c r="M9" s="66">
        <f t="shared" ref="M9" ca="1" si="19">N9</f>
        <v>0.10926314681008374</v>
      </c>
      <c r="N9" s="114">
        <f ca="1">'All Expenses'!S9</f>
        <v>0.10926314681008374</v>
      </c>
      <c r="O9" s="66">
        <f t="shared" ref="O9" ca="1" si="20">P9</f>
        <v>-3.5522819770251284E-3</v>
      </c>
      <c r="P9" s="114">
        <f t="shared" ca="1" si="0"/>
        <v>-3.5522819770251284E-3</v>
      </c>
      <c r="Q9" s="66">
        <f ca="1">'All Expenses'!R9-0.01</f>
        <v>9.9263146810083747E-2</v>
      </c>
      <c r="R9" s="66">
        <f t="shared" ref="R9" ca="1" si="21">S9</f>
        <v>3.673590573925304E-2</v>
      </c>
      <c r="S9" s="114">
        <f t="shared" ca="1" si="1"/>
        <v>3.673590573925304E-2</v>
      </c>
      <c r="T9" s="66">
        <f t="shared" ref="T9" ca="1" si="22">U9</f>
        <v>3.905161306141252E-2</v>
      </c>
      <c r="U9" s="114">
        <f t="shared" ca="1" si="5"/>
        <v>3.905161306141252E-2</v>
      </c>
      <c r="V9" s="8"/>
      <c r="W9" s="98">
        <f>'Q&amp;A'!A16</f>
        <v>-5.0000000000000001E-3</v>
      </c>
      <c r="X9" s="98">
        <f>'Q&amp;A'!A17</f>
        <v>0.04</v>
      </c>
    </row>
    <row r="10" spans="1:24">
      <c r="A10" s="3">
        <f t="shared" si="6"/>
        <v>71</v>
      </c>
      <c r="B10" s="3">
        <v>8</v>
      </c>
      <c r="C10" s="13">
        <f ca="1">'Soc Sec'!K10</f>
        <v>2865.4923442806798</v>
      </c>
      <c r="D10" s="14">
        <f ca="1">'Soc Sec'!Q10</f>
        <v>1066.1899267494432</v>
      </c>
      <c r="E10" s="14">
        <f ca="1">TSP!F11</f>
        <v>701.92316202946404</v>
      </c>
      <c r="F10" s="14">
        <f t="shared" ca="1" si="2"/>
        <v>2692.9202780750306</v>
      </c>
      <c r="G10" s="14">
        <f ca="1">Rentals!D9</f>
        <v>781.18825095744501</v>
      </c>
      <c r="H10" s="14">
        <f ca="1">'IRA &amp; svgs'!G9</f>
        <v>550.00024502827091</v>
      </c>
      <c r="I10" s="14">
        <f>'PT work'!C9/12</f>
        <v>0</v>
      </c>
      <c r="J10" s="15">
        <f t="shared" ca="1" si="3"/>
        <v>8657.7142071203343</v>
      </c>
      <c r="K10" s="20">
        <f t="shared" ca="1" si="4"/>
        <v>103892.57048544401</v>
      </c>
      <c r="M10" s="66">
        <f t="shared" ref="M10" ca="1" si="23">N9-(N9-N12)/3</f>
        <v>9.3776212225823413E-2</v>
      </c>
      <c r="N10" s="114">
        <f ca="1">'All Expenses'!S10</f>
        <v>6.3845341297119162E-4</v>
      </c>
      <c r="O10" s="66">
        <f t="shared" ref="O10" ca="1" si="24">P9-(P9-P12)/3</f>
        <v>-2.6285163926342663E-3</v>
      </c>
      <c r="P10" s="114">
        <f t="shared" ca="1" si="0"/>
        <v>7.448421385352455E-2</v>
      </c>
      <c r="Q10" s="66">
        <f ca="1">'All Expenses'!R10-0.01</f>
        <v>8.3776212225823418E-2</v>
      </c>
      <c r="R10" s="66">
        <f t="shared" ref="R10" ca="1" si="25">S9-(S9-S12)/3</f>
        <v>3.2544324124425872E-2</v>
      </c>
      <c r="S10" s="114">
        <f t="shared" ca="1" si="1"/>
        <v>1.8772077206229067E-2</v>
      </c>
      <c r="T10" s="66">
        <f t="shared" ref="T10" ca="1" si="26">U9-(U9-U12)/3</f>
        <v>3.1857043000804386E-2</v>
      </c>
      <c r="U10" s="114">
        <f t="shared" ca="1" si="5"/>
        <v>3.1724968052815328E-2</v>
      </c>
      <c r="V10" s="8"/>
    </row>
    <row r="11" spans="1:24">
      <c r="A11" s="3">
        <f t="shared" si="6"/>
        <v>72</v>
      </c>
      <c r="B11" s="3">
        <v>9</v>
      </c>
      <c r="C11" s="13">
        <f ca="1">'Soc Sec'!K11</f>
        <v>3134.2073624894174</v>
      </c>
      <c r="D11" s="14">
        <f ca="1">'Soc Sec'!Q11</f>
        <v>1149.6611659433681</v>
      </c>
      <c r="E11" s="14">
        <f ca="1">TSP!F12</f>
        <v>672.69749563360267</v>
      </c>
      <c r="F11" s="14">
        <f t="shared" ca="1" si="2"/>
        <v>2876.8178586110917</v>
      </c>
      <c r="G11" s="14">
        <f ca="1">Rentals!D10</f>
        <v>803.33708028836509</v>
      </c>
      <c r="H11" s="14">
        <f ca="1">'IRA &amp; svgs'!G10</f>
        <v>535.3863806289628</v>
      </c>
      <c r="I11" s="14">
        <f>'PT work'!C10/12</f>
        <v>0</v>
      </c>
      <c r="J11" s="15">
        <f t="shared" ca="1" si="3"/>
        <v>9172.1073435948074</v>
      </c>
      <c r="K11" s="20">
        <f t="shared" ca="1" si="4"/>
        <v>110065.2881231377</v>
      </c>
      <c r="M11" s="66">
        <f t="shared" ref="M11" ca="1" si="27">N9-2*(N9-N12)/3</f>
        <v>7.8289277641563071E-2</v>
      </c>
      <c r="N11" s="114">
        <f ca="1">'All Expenses'!S11</f>
        <v>6.5146123392958763E-2</v>
      </c>
      <c r="O11" s="66">
        <f t="shared" ref="O11" ca="1" si="28">P9-2*(P9-P12)/3</f>
        <v>-1.7047508082434042E-3</v>
      </c>
      <c r="P11" s="114">
        <f t="shared" ca="1" si="0"/>
        <v>3.347217734519714E-2</v>
      </c>
      <c r="Q11" s="66">
        <f ca="1">'All Expenses'!R11-0.01</f>
        <v>6.8289277641563076E-2</v>
      </c>
      <c r="R11" s="66">
        <f t="shared" ref="R11" ca="1" si="29">S9-2*(S9-S12)/3</f>
        <v>2.8352742509598711E-2</v>
      </c>
      <c r="S11" s="114">
        <f t="shared" ca="1" si="1"/>
        <v>2.7255071636792496E-2</v>
      </c>
      <c r="T11" s="66">
        <f t="shared" ref="T11" ca="1" si="30">U9-2*(U9-U12)/3</f>
        <v>2.4662472940196245E-2</v>
      </c>
      <c r="U11" s="114">
        <f t="shared" ca="1" si="5"/>
        <v>1.9251289927025253E-2</v>
      </c>
      <c r="V11" s="8"/>
    </row>
    <row r="12" spans="1:24">
      <c r="A12" s="3">
        <f t="shared" si="6"/>
        <v>73</v>
      </c>
      <c r="B12" s="3">
        <v>10</v>
      </c>
      <c r="C12" s="13">
        <f ca="1">'Soc Sec'!K12</f>
        <v>3379.5821928775827</v>
      </c>
      <c r="D12" s="14">
        <f ca="1">'Soc Sec'!Q12</f>
        <v>1221.8625808866022</v>
      </c>
      <c r="E12" s="14">
        <f ca="1">TSP!F13</f>
        <v>645.28524367621458</v>
      </c>
      <c r="F12" s="14">
        <f t="shared" ca="1" si="2"/>
        <v>3028.7205820948498</v>
      </c>
      <c r="G12" s="14">
        <f ca="1">Rentals!D11</f>
        <v>822.74663673794839</v>
      </c>
      <c r="H12" s="14">
        <f ca="1">'IRA &amp; svgs'!G11</f>
        <v>517.50153503240153</v>
      </c>
      <c r="I12" s="14">
        <f>'PT work'!C11/12</f>
        <v>0</v>
      </c>
      <c r="J12" s="15">
        <f t="shared" ca="1" si="3"/>
        <v>9615.6987713055987</v>
      </c>
      <c r="K12" s="20">
        <f t="shared" ca="1" si="4"/>
        <v>115388.38525566718</v>
      </c>
      <c r="M12" s="66">
        <f t="shared" ref="M12" ca="1" si="31">N12</f>
        <v>6.2802343057302742E-2</v>
      </c>
      <c r="N12" s="114">
        <f ca="1">'All Expenses'!S12</f>
        <v>6.2802343057302742E-2</v>
      </c>
      <c r="O12" s="66">
        <f t="shared" ref="O12" ca="1" si="32">P12</f>
        <v>-7.8098522385254207E-4</v>
      </c>
      <c r="P12" s="114">
        <f t="shared" ca="1" si="0"/>
        <v>-7.8098522385254207E-4</v>
      </c>
      <c r="Q12" s="66">
        <f ca="1">'All Expenses'!R12-0.01</f>
        <v>5.2802343057302741E-2</v>
      </c>
      <c r="R12" s="66">
        <f t="shared" ref="R12" ca="1" si="33">S12</f>
        <v>2.4161160894771546E-2</v>
      </c>
      <c r="S12" s="114">
        <f t="shared" ca="1" si="1"/>
        <v>2.4161160894771546E-2</v>
      </c>
      <c r="T12" s="66">
        <f t="shared" ref="T12" ca="1" si="34">U12</f>
        <v>1.7467902879588111E-2</v>
      </c>
      <c r="U12" s="114">
        <f t="shared" ca="1" si="5"/>
        <v>1.7467902879588111E-2</v>
      </c>
      <c r="V12" s="8"/>
    </row>
    <row r="13" spans="1:24">
      <c r="A13" s="3">
        <f t="shared" si="6"/>
        <v>74</v>
      </c>
      <c r="B13" s="3">
        <v>11</v>
      </c>
      <c r="C13" s="13">
        <f ca="1">'Soc Sec'!K13</f>
        <v>3591.8278731450323</v>
      </c>
      <c r="D13" s="14">
        <f ca="1">'Soc Sec'!Q13</f>
        <v>1300.8097959137322</v>
      </c>
      <c r="E13" s="14">
        <f ca="1">TSP!F14</f>
        <v>618.85928082084376</v>
      </c>
      <c r="F13" s="14">
        <f t="shared" ca="1" si="2"/>
        <v>3194.1256405203721</v>
      </c>
      <c r="G13" s="14">
        <f ca="1">Rentals!D12</f>
        <v>837.55858889482693</v>
      </c>
      <c r="H13" s="14">
        <f ca="1">'IRA &amp; svgs'!G12</f>
        <v>510.45515962967858</v>
      </c>
      <c r="I13" s="14">
        <f>'PT work'!C12/12</f>
        <v>0</v>
      </c>
      <c r="J13" s="15">
        <f t="shared" ca="1" si="3"/>
        <v>10053.636338924485</v>
      </c>
      <c r="K13" s="20">
        <f t="shared" ca="1" si="4"/>
        <v>120643.63606709382</v>
      </c>
      <c r="M13" s="66">
        <f t="shared" ref="M13" ca="1" si="35">N12-(N12-N15)/3</f>
        <v>6.4612188197010312E-2</v>
      </c>
      <c r="N13" s="114">
        <f ca="1">'All Expenses'!S13</f>
        <v>8.8291872129487955E-2</v>
      </c>
      <c r="O13" s="66">
        <f t="shared" ref="O13" ca="1" si="36">P12-(P12-P15)/3</f>
        <v>-9.9205660459346368E-4</v>
      </c>
      <c r="P13" s="114">
        <f t="shared" ca="1" si="0"/>
        <v>1.1733436441651129E-2</v>
      </c>
      <c r="Q13" s="66">
        <f ca="1">'All Expenses'!R13-0.01</f>
        <v>5.461218819701031E-2</v>
      </c>
      <c r="R13" s="66">
        <f t="shared" ref="R13" ca="1" si="37">S12-(S12-S15)/3</f>
        <v>1.8003054033262952E-2</v>
      </c>
      <c r="S13" s="114">
        <f t="shared" ca="1" si="1"/>
        <v>6.0819725547924313E-3</v>
      </c>
      <c r="T13" s="66">
        <f t="shared" ref="T13" ca="1" si="38">U12-(U12-U15)/3</f>
        <v>3.8298795827102411E-2</v>
      </c>
      <c r="U13" s="114">
        <f t="shared" ca="1" si="5"/>
        <v>6.0020752017603908E-2</v>
      </c>
      <c r="V13" s="8"/>
    </row>
    <row r="14" spans="1:24">
      <c r="A14" s="3">
        <f t="shared" si="6"/>
        <v>75</v>
      </c>
      <c r="B14" s="3">
        <v>12</v>
      </c>
      <c r="C14" s="13">
        <f ca="1">'Soc Sec'!K14</f>
        <v>3823.9037316559466</v>
      </c>
      <c r="D14" s="14">
        <f ca="1">'Soc Sec'!Q14</f>
        <v>1387.2122275426432</v>
      </c>
      <c r="E14" s="14">
        <f ca="1">TSP!F15</f>
        <v>593.39012534506026</v>
      </c>
      <c r="F14" s="14">
        <f t="shared" ca="1" si="2"/>
        <v>3374.3447038914778</v>
      </c>
      <c r="G14" s="14">
        <f ca="1">Rentals!D13</f>
        <v>847.4794261335353</v>
      </c>
      <c r="H14" s="14">
        <f ca="1">'IRA &amp; svgs'!G13</f>
        <v>513.60630363437986</v>
      </c>
      <c r="I14" s="14">
        <f>'PT work'!C13/12</f>
        <v>0</v>
      </c>
      <c r="J14" s="15">
        <f t="shared" ca="1" si="3"/>
        <v>10539.936518203043</v>
      </c>
      <c r="K14" s="20">
        <f t="shared" ca="1" si="4"/>
        <v>126479.23821843651</v>
      </c>
      <c r="M14" s="66">
        <f t="shared" ref="M14" ca="1" si="39">N12-2*(N12-N15)/3</f>
        <v>6.6422033336717895E-2</v>
      </c>
      <c r="N14" s="114">
        <f ca="1">'All Expenses'!S14</f>
        <v>5.2702630291947848E-2</v>
      </c>
      <c r="O14" s="66">
        <f t="shared" ref="O14" ca="1" si="40">P12-2*(P12-P15)/3</f>
        <v>-1.2031279853343853E-3</v>
      </c>
      <c r="P14" s="114">
        <f t="shared" ca="1" si="0"/>
        <v>0.10303340374225492</v>
      </c>
      <c r="Q14" s="66">
        <f ca="1">'All Expenses'!R14-0.01</f>
        <v>5.6422033336717893E-2</v>
      </c>
      <c r="R14" s="66">
        <f t="shared" ref="R14" ca="1" si="41">S12-2*(S12-S15)/3</f>
        <v>1.1844947171754361E-2</v>
      </c>
      <c r="S14" s="114">
        <f t="shared" ca="1" si="1"/>
        <v>1.781064299719376E-2</v>
      </c>
      <c r="T14" s="66">
        <f t="shared" ref="T14" ca="1" si="42">U12-2*(U12-U15)/3</f>
        <v>5.9129688774616711E-2</v>
      </c>
      <c r="U14" s="114">
        <f t="shared" ca="1" si="5"/>
        <v>3.6312480286822039E-2</v>
      </c>
      <c r="V14" s="8"/>
    </row>
    <row r="15" spans="1:24">
      <c r="A15" s="3">
        <f t="shared" si="6"/>
        <v>76</v>
      </c>
      <c r="B15" s="3">
        <v>13</v>
      </c>
      <c r="C15" s="13">
        <f ca="1">'Soc Sec'!K15</f>
        <v>4077.8951927963976</v>
      </c>
      <c r="D15" s="14">
        <f ca="1">'Soc Sec'!Q15</f>
        <v>1481.8643236733444</v>
      </c>
      <c r="E15" s="14">
        <f ca="1">TSP!F16</f>
        <v>568.84891526972331</v>
      </c>
      <c r="F15" s="14">
        <f t="shared" ca="1" si="2"/>
        <v>3570.8391346260564</v>
      </c>
      <c r="G15" s="14">
        <f ca="1">Rentals!D14</f>
        <v>852.29890629617535</v>
      </c>
      <c r="H15" s="14">
        <f ca="1">'IRA &amp; svgs'!G14</f>
        <v>526.9408343266814</v>
      </c>
      <c r="I15" s="14">
        <f>'PT work'!C14/12</f>
        <v>0</v>
      </c>
      <c r="J15" s="15">
        <f t="shared" ca="1" si="3"/>
        <v>11078.687306988377</v>
      </c>
      <c r="K15" s="20">
        <f t="shared" ca="1" si="4"/>
        <v>132944.24768386054</v>
      </c>
      <c r="M15" s="66">
        <f t="shared" ref="M15" ca="1" si="43">N15</f>
        <v>6.8231878476425464E-2</v>
      </c>
      <c r="N15" s="114">
        <f ca="1">'All Expenses'!S15</f>
        <v>6.8231878476425464E-2</v>
      </c>
      <c r="O15" s="66">
        <f t="shared" ref="O15" ca="1" si="44">P15</f>
        <v>-1.4141993660753069E-3</v>
      </c>
      <c r="P15" s="114">
        <f t="shared" ca="1" si="0"/>
        <v>-1.4141993660753069E-3</v>
      </c>
      <c r="Q15" s="66">
        <f ca="1">'All Expenses'!R15-0.01</f>
        <v>5.8231878476425462E-2</v>
      </c>
      <c r="R15" s="66">
        <f t="shared" ref="R15" ca="1" si="45">S15</f>
        <v>5.6868403102457677E-3</v>
      </c>
      <c r="S15" s="114">
        <f t="shared" ca="1" si="1"/>
        <v>5.6868403102457677E-3</v>
      </c>
      <c r="T15" s="66">
        <f t="shared" ref="T15" ca="1" si="46">U15</f>
        <v>7.9960581722131011E-2</v>
      </c>
      <c r="U15" s="114">
        <f t="shared" ca="1" si="5"/>
        <v>7.9960581722131011E-2</v>
      </c>
      <c r="V15" s="8"/>
    </row>
    <row r="16" spans="1:24">
      <c r="A16" s="3">
        <f t="shared" si="6"/>
        <v>77</v>
      </c>
      <c r="B16" s="3">
        <v>14</v>
      </c>
      <c r="C16" s="13">
        <f ca="1">'Soc Sec'!K16</f>
        <v>4356.1376420308816</v>
      </c>
      <c r="D16" s="14">
        <f ca="1">'Soc Sec'!Q16</f>
        <v>1573.5406674613164</v>
      </c>
      <c r="E16" s="14">
        <f ca="1">TSP!F17</f>
        <v>562.98754018455759</v>
      </c>
      <c r="F16" s="14">
        <f t="shared" ca="1" si="2"/>
        <v>3756.0426519395828</v>
      </c>
      <c r="G16" s="14">
        <f ca="1">Rentals!D15</f>
        <v>862.09872434386125</v>
      </c>
      <c r="H16" s="14">
        <f ca="1">'IRA &amp; svgs'!G15</f>
        <v>526.01401814079509</v>
      </c>
      <c r="I16" s="14">
        <f>'PT work'!C15/12</f>
        <v>0</v>
      </c>
      <c r="J16" s="15">
        <f t="shared" ca="1" si="3"/>
        <v>11636.821244100995</v>
      </c>
      <c r="K16" s="20">
        <f t="shared" ca="1" si="4"/>
        <v>139641.85492921193</v>
      </c>
      <c r="M16" s="66">
        <f t="shared" ref="M16" ca="1" si="47">N15-(N15-N18)/3</f>
        <v>6.1865544856845228E-2</v>
      </c>
      <c r="N16" s="114">
        <f ca="1">'All Expenses'!S16</f>
        <v>5.7179946089747379E-2</v>
      </c>
      <c r="O16" s="66">
        <f t="shared" ref="O16" ca="1" si="48">P15-(P15-P18)/3</f>
        <v>3.0933414157689465E-2</v>
      </c>
      <c r="P16" s="114">
        <f t="shared" ca="1" si="0"/>
        <v>3.4397390054456467E-2</v>
      </c>
      <c r="Q16" s="66">
        <f ca="1">'All Expenses'!R16-0.01</f>
        <v>5.1865544856845226E-2</v>
      </c>
      <c r="R16" s="66">
        <f t="shared" ref="R16" ca="1" si="49">S15-(S15-S18)/3</f>
        <v>1.1498099992023685E-2</v>
      </c>
      <c r="S16" s="114">
        <f t="shared" ca="1" si="1"/>
        <v>1.6929217459604538E-2</v>
      </c>
      <c r="T16" s="66">
        <f t="shared" ref="T16" ca="1" si="50">U15-(U15-U18)/3</f>
        <v>5.0780145310819591E-2</v>
      </c>
      <c r="U16" s="114">
        <f t="shared" ca="1" si="5"/>
        <v>5.6413849552417746E-2</v>
      </c>
      <c r="V16" s="8"/>
    </row>
    <row r="17" spans="1:22">
      <c r="A17" s="3">
        <f t="shared" si="6"/>
        <v>78</v>
      </c>
      <c r="B17" s="3">
        <v>15</v>
      </c>
      <c r="C17" s="13">
        <f ca="1">'Soc Sec'!K17</f>
        <v>4625.6324707265348</v>
      </c>
      <c r="D17" s="14">
        <f ca="1">'Soc Sec'!Q17</f>
        <v>1660.870933355179</v>
      </c>
      <c r="E17" s="14">
        <f ca="1">TSP!F18</f>
        <v>574.66941148731883</v>
      </c>
      <c r="F17" s="14">
        <f t="shared" ca="1" si="2"/>
        <v>3926.9396299763589</v>
      </c>
      <c r="G17" s="14">
        <f ca="1">Rentals!D16</f>
        <v>877.02110123785474</v>
      </c>
      <c r="H17" s="14">
        <f ca="1">'IRA &amp; svgs'!G16</f>
        <v>510.50697941921197</v>
      </c>
      <c r="I17" s="14">
        <f>'PT work'!C16/12</f>
        <v>0</v>
      </c>
      <c r="J17" s="15">
        <f t="shared" ca="1" si="3"/>
        <v>12175.640526202458</v>
      </c>
      <c r="K17" s="20">
        <f t="shared" ca="1" si="4"/>
        <v>146107.68631442951</v>
      </c>
      <c r="M17" s="66">
        <f t="shared" ref="M17" ca="1" si="51">N15-2*(N15-N18)/3</f>
        <v>5.5499211237264999E-2</v>
      </c>
      <c r="N17" s="114">
        <f ca="1">'All Expenses'!S17</f>
        <v>5.5969760888029643E-2</v>
      </c>
      <c r="O17" s="66">
        <f t="shared" ref="O17" ca="1" si="52">P15-2*(P15-P18)/3</f>
        <v>6.3281027681454244E-2</v>
      </c>
      <c r="P17" s="114">
        <f t="shared" ca="1" si="0"/>
        <v>1.3556693734133232E-2</v>
      </c>
      <c r="Q17" s="66">
        <f ca="1">'All Expenses'!R17-0.01</f>
        <v>4.5499211237264997E-2</v>
      </c>
      <c r="R17" s="66">
        <f t="shared" ref="R17" ca="1" si="53">S15-2*(S15-S18)/3</f>
        <v>1.7309359673801601E-2</v>
      </c>
      <c r="S17" s="114">
        <f t="shared" ca="1" si="1"/>
        <v>2.0975062224865962E-2</v>
      </c>
      <c r="T17" s="66">
        <f t="shared" ref="T17" ca="1" si="54">U15-2*(U15-U18)/3</f>
        <v>2.1599708899508165E-2</v>
      </c>
      <c r="U17" s="114">
        <f t="shared" ca="1" si="5"/>
        <v>3.1557242090765117E-3</v>
      </c>
      <c r="V17" s="8"/>
    </row>
    <row r="18" spans="1:22">
      <c r="A18" s="3">
        <f t="shared" si="6"/>
        <v>79</v>
      </c>
      <c r="B18" s="3">
        <v>16</v>
      </c>
      <c r="C18" s="13">
        <f ca="1">'Soc Sec'!K18</f>
        <v>4882.3514243253385</v>
      </c>
      <c r="D18" s="14">
        <f ca="1">'Soc Sec'!Q18</f>
        <v>1742.4743016624886</v>
      </c>
      <c r="E18" s="14">
        <f ca="1">TSP!F19</f>
        <v>604.43929579205167</v>
      </c>
      <c r="F18" s="14">
        <f t="shared" ca="1" si="2"/>
        <v>4080.6120779282596</v>
      </c>
      <c r="G18" s="14">
        <f ca="1">Rentals!D17</f>
        <v>897.29837228638632</v>
      </c>
      <c r="H18" s="14">
        <f ca="1">'IRA &amp; svgs'!G17</f>
        <v>481.30511685959306</v>
      </c>
      <c r="I18" s="14">
        <f>'PT work'!C17/12</f>
        <v>0</v>
      </c>
      <c r="J18" s="15">
        <f t="shared" ca="1" si="3"/>
        <v>12688.48058885412</v>
      </c>
      <c r="K18" s="20">
        <f t="shared" ca="1" si="4"/>
        <v>152261.76706624945</v>
      </c>
      <c r="M18" s="66">
        <f t="shared" ref="M18" ca="1" si="55">N18</f>
        <v>4.9132877617684763E-2</v>
      </c>
      <c r="N18" s="114">
        <f ca="1">'All Expenses'!S18</f>
        <v>4.9132877617684763E-2</v>
      </c>
      <c r="O18" s="66">
        <f t="shared" ref="O18" ca="1" si="56">P18</f>
        <v>9.5628641205218995E-2</v>
      </c>
      <c r="P18" s="114">
        <f t="shared" ca="1" si="0"/>
        <v>9.5628641205218995E-2</v>
      </c>
      <c r="Q18" s="66">
        <f ca="1">'All Expenses'!R18-0.01</f>
        <v>3.9132877617684761E-2</v>
      </c>
      <c r="R18" s="66">
        <f t="shared" ref="R18" ca="1" si="57">S18</f>
        <v>2.3120619355579519E-2</v>
      </c>
      <c r="S18" s="114">
        <f t="shared" ca="1" si="1"/>
        <v>2.3120619355579519E-2</v>
      </c>
      <c r="T18" s="66">
        <f t="shared" ref="T18" ca="1" si="58">U18</f>
        <v>-7.5807275118032671E-3</v>
      </c>
      <c r="U18" s="114">
        <f t="shared" ca="1" si="5"/>
        <v>-7.5807275118032671E-3</v>
      </c>
      <c r="V18" s="8"/>
    </row>
    <row r="19" spans="1:22">
      <c r="A19" s="3">
        <f t="shared" si="6"/>
        <v>80</v>
      </c>
      <c r="B19" s="3">
        <v>17</v>
      </c>
      <c r="C19" s="13">
        <f ca="1">'Soc Sec'!K19</f>
        <v>5122.2353993432444</v>
      </c>
      <c r="D19" s="14">
        <f ca="1">'Soc Sec'!Q19</f>
        <v>1847.8406633129568</v>
      </c>
      <c r="E19" s="14">
        <f ca="1">TSP!F20</f>
        <v>638.74876583711546</v>
      </c>
      <c r="F19" s="14">
        <f t="shared" ca="1" si="2"/>
        <v>4286.558088614006</v>
      </c>
      <c r="G19" s="14">
        <f ca="1">Rentals!D18</f>
        <v>919.65515988280617</v>
      </c>
      <c r="H19" s="14">
        <f ca="1">'IRA &amp; svgs'!G18</f>
        <v>465.50998890572845</v>
      </c>
      <c r="I19" s="14">
        <f>'PT work'!C18/12</f>
        <v>0</v>
      </c>
      <c r="J19" s="15">
        <f t="shared" ca="1" si="3"/>
        <v>13280.548065895859</v>
      </c>
      <c r="K19" s="20">
        <f t="shared" ca="1" si="4"/>
        <v>159366.57679075032</v>
      </c>
      <c r="M19" s="66">
        <f t="shared" ref="M19" ca="1" si="59">N18-(N18-N21)/3</f>
        <v>6.046939203059612E-2</v>
      </c>
      <c r="N19" s="114">
        <f ca="1">'All Expenses'!S19</f>
        <v>9.5375035178427436E-2</v>
      </c>
      <c r="O19" s="66">
        <f t="shared" ref="O19" ca="1" si="60">P18-(P18-P21)/3</f>
        <v>0.10079424415169644</v>
      </c>
      <c r="P19" s="114">
        <f t="shared" ca="1" si="0"/>
        <v>6.50273453340066E-2</v>
      </c>
      <c r="Q19" s="66">
        <f ca="1">'All Expenses'!R19-0.01</f>
        <v>5.0469392030596118E-2</v>
      </c>
      <c r="R19" s="66">
        <f t="shared" ref="R19" ca="1" si="61">S18-(S18-S21)/3</f>
        <v>2.4915667170389635E-2</v>
      </c>
      <c r="S19" s="114">
        <f t="shared" ca="1" si="1"/>
        <v>2.9930149598821922E-2</v>
      </c>
      <c r="T19" s="66">
        <f t="shared" ref="T19" ca="1" si="62">U18-(U18-U21)/3</f>
        <v>1.8087066754695132E-2</v>
      </c>
      <c r="U19" s="114">
        <f t="shared" ca="1" si="5"/>
        <v>5.339792010857871E-2</v>
      </c>
      <c r="V19" s="8"/>
    </row>
    <row r="20" spans="1:22">
      <c r="A20" s="3">
        <f t="shared" si="6"/>
        <v>81</v>
      </c>
      <c r="B20" s="3">
        <v>18</v>
      </c>
      <c r="C20" s="13">
        <f ca="1">'Soc Sec'!K20</f>
        <v>5431.9738597791284</v>
      </c>
      <c r="D20" s="14">
        <f ca="1">'Soc Sec'!Q20</f>
        <v>1980.5265371053158</v>
      </c>
      <c r="E20" s="14">
        <f ca="1">TSP!F21</f>
        <v>678.17326790338905</v>
      </c>
      <c r="F20" s="14">
        <f t="shared" ca="1" si="2"/>
        <v>4551.4926968035434</v>
      </c>
      <c r="G20" s="14">
        <f ca="1">Rentals!D19</f>
        <v>944.21980674310407</v>
      </c>
      <c r="H20" s="14">
        <f ca="1">'IRA &amp; svgs'!G19</f>
        <v>461.5843980855621</v>
      </c>
      <c r="I20" s="14">
        <f>'PT work'!C19/12</f>
        <v>0</v>
      </c>
      <c r="J20" s="15">
        <f t="shared" ca="1" si="3"/>
        <v>14047.970566420043</v>
      </c>
      <c r="K20" s="20">
        <f t="shared" ca="1" si="4"/>
        <v>168575.64679704051</v>
      </c>
      <c r="M20" s="66">
        <f t="shared" ref="M20" ca="1" si="63">N18-2*(N18-N21)/3</f>
        <v>7.1805906443507483E-2</v>
      </c>
      <c r="N20" s="114">
        <f ca="1">'All Expenses'!S20</f>
        <v>3.7810504310507122E-2</v>
      </c>
      <c r="O20" s="66">
        <f t="shared" ref="O20" ca="1" si="64">P18-2*(P18-P21)/3</f>
        <v>0.1059598470981739</v>
      </c>
      <c r="P20" s="114">
        <f t="shared" ca="1" si="0"/>
        <v>9.6098352758555661E-2</v>
      </c>
      <c r="Q20" s="66">
        <f ca="1">'All Expenses'!R20-0.01</f>
        <v>6.1805906443507481E-2</v>
      </c>
      <c r="R20" s="66">
        <f t="shared" ref="R20" ca="1" si="65">S18-2*(S18-S21)/3</f>
        <v>2.6710714985199755E-2</v>
      </c>
      <c r="S20" s="114">
        <f t="shared" ca="1" si="1"/>
        <v>2.8212638850728815E-2</v>
      </c>
      <c r="T20" s="66">
        <f t="shared" ref="T20" ca="1" si="66">U18-2*(U18-U21)/3</f>
        <v>4.3754861021193532E-2</v>
      </c>
      <c r="U20" s="114">
        <f t="shared" ca="1" si="5"/>
        <v>8.360693211507059E-3</v>
      </c>
      <c r="V20" s="8"/>
    </row>
    <row r="21" spans="1:22">
      <c r="A21" s="3">
        <f t="shared" si="6"/>
        <v>82</v>
      </c>
      <c r="B21" s="3">
        <v>19</v>
      </c>
      <c r="C21" s="13">
        <f ca="1">'Soc Sec'!K21</f>
        <v>5822.0216665580065</v>
      </c>
      <c r="D21" s="14">
        <f ca="1">'Soc Sec'!Q21</f>
        <v>2145.1923079706316</v>
      </c>
      <c r="E21" s="14">
        <f ca="1">TSP!F22</f>
        <v>723.39415440710866</v>
      </c>
      <c r="F21" s="14">
        <f t="shared" ca="1" si="2"/>
        <v>4884.3998911580647</v>
      </c>
      <c r="G21" s="14">
        <f ca="1">Rentals!D20</f>
        <v>971.13551258519419</v>
      </c>
      <c r="H21" s="14">
        <f ca="1">'IRA &amp; svgs'!G20</f>
        <v>468.94737200803121</v>
      </c>
      <c r="I21" s="14">
        <f>'PT work'!C20/12</f>
        <v>0</v>
      </c>
      <c r="J21" s="15">
        <f t="shared" ca="1" si="3"/>
        <v>15015.09090468704</v>
      </c>
      <c r="K21" s="20">
        <f t="shared" ca="1" si="4"/>
        <v>180181.0908562445</v>
      </c>
      <c r="M21" s="66">
        <f t="shared" ref="M21" ca="1" si="67">N21</f>
        <v>8.3142420856418833E-2</v>
      </c>
      <c r="N21" s="114">
        <f ca="1">'All Expenses'!S21</f>
        <v>8.3142420856418833E-2</v>
      </c>
      <c r="O21" s="66">
        <f t="shared" ref="O21" ca="1" si="68">P21</f>
        <v>0.11112545004465134</v>
      </c>
      <c r="P21" s="114">
        <f t="shared" ca="1" si="0"/>
        <v>0.11112545004465134</v>
      </c>
      <c r="Q21" s="66">
        <f ca="1">'All Expenses'!R21-0.01</f>
        <v>7.3142420856418838E-2</v>
      </c>
      <c r="R21" s="66">
        <f t="shared" ref="R21" ca="1" si="69">S21</f>
        <v>2.8505762800009871E-2</v>
      </c>
      <c r="S21" s="114">
        <f t="shared" ca="1" si="1"/>
        <v>2.8505762800009871E-2</v>
      </c>
      <c r="T21" s="66">
        <f t="shared" ref="T21" ca="1" si="70">U21</f>
        <v>6.9422655287691939E-2</v>
      </c>
      <c r="U21" s="114">
        <f t="shared" ca="1" si="5"/>
        <v>6.9422655287691939E-2</v>
      </c>
      <c r="V21" s="8"/>
    </row>
    <row r="22" spans="1:22">
      <c r="A22" s="3">
        <f t="shared" si="6"/>
        <v>83</v>
      </c>
      <c r="B22" s="3">
        <v>20</v>
      </c>
      <c r="C22" s="13">
        <f ca="1">'Soc Sec'!K22</f>
        <v>6306.0786421941611</v>
      </c>
      <c r="D22" s="14">
        <f ca="1">'Soc Sec'!Q22</f>
        <v>2315.982488446029</v>
      </c>
      <c r="E22" s="14">
        <f ca="1">TSP!F23</f>
        <v>768.32626760910262</v>
      </c>
      <c r="F22" s="14">
        <f t="shared" ca="1" si="2"/>
        <v>5224.4289717486499</v>
      </c>
      <c r="G22" s="14">
        <f ca="1">Rentals!D21</f>
        <v>991.50863627596505</v>
      </c>
      <c r="H22" s="14">
        <f ca="1">'IRA &amp; svgs'!G21</f>
        <v>475.64461714724933</v>
      </c>
      <c r="I22" s="14">
        <f>'PT work'!C21/12</f>
        <v>0</v>
      </c>
      <c r="J22" s="15">
        <f t="shared" ca="1" si="3"/>
        <v>16081.969623421155</v>
      </c>
      <c r="K22" s="20">
        <f t="shared" ca="1" si="4"/>
        <v>192983.63548105385</v>
      </c>
      <c r="M22" s="66">
        <f t="shared" ref="M22" ca="1" si="71">N21-(N21-N24)/3</f>
        <v>7.9615323922621425E-2</v>
      </c>
      <c r="N22" s="114">
        <f ca="1">'All Expenses'!S22</f>
        <v>7.6075196562783595E-2</v>
      </c>
      <c r="O22" s="66">
        <f t="shared" ref="O22" ca="1" si="72">P21-(P21-P24)/3</f>
        <v>0.10636761054389622</v>
      </c>
      <c r="P22" s="114">
        <f t="shared" ca="1" si="0"/>
        <v>3.7253637864895897E-2</v>
      </c>
      <c r="Q22" s="66">
        <f ca="1">'All Expenses'!R22-0.01</f>
        <v>6.961532392262143E-2</v>
      </c>
      <c r="R22" s="66">
        <f t="shared" ref="R22" ca="1" si="73">S21-(S21-S24)/3</f>
        <v>2.0978662016526525E-2</v>
      </c>
      <c r="S22" s="114">
        <f t="shared" ca="1" si="1"/>
        <v>3.6230099490699323E-2</v>
      </c>
      <c r="T22" s="66">
        <f t="shared" ref="T22" ca="1" si="74">U21-(U21-U24)/3</f>
        <v>6.7664676787976552E-2</v>
      </c>
      <c r="U22" s="114">
        <f t="shared" ca="1" si="5"/>
        <v>8.5886185131439308E-2</v>
      </c>
      <c r="V22" s="8"/>
    </row>
    <row r="23" spans="1:22">
      <c r="A23" s="3">
        <f t="shared" si="6"/>
        <v>84</v>
      </c>
      <c r="B23" s="3">
        <v>21</v>
      </c>
      <c r="C23" s="13">
        <f ca="1">'Soc Sec'!K23</f>
        <v>6808.1391359739737</v>
      </c>
      <c r="D23" s="14">
        <f ca="1">'Soc Sec'!Q23</f>
        <v>2492.2014897290524</v>
      </c>
      <c r="E23" s="14">
        <f ca="1">TSP!F24</f>
        <v>812.53989479740278</v>
      </c>
      <c r="F23" s="14">
        <f t="shared" ca="1" si="2"/>
        <v>5569.7022195205636</v>
      </c>
      <c r="G23" s="14">
        <f ca="1">Rentals!D22</f>
        <v>1004.8459754099225</v>
      </c>
      <c r="H23" s="14">
        <f ca="1">'IRA &amp; svgs'!G22</f>
        <v>481.64314425090816</v>
      </c>
      <c r="I23" s="14">
        <f>'PT work'!C22/12</f>
        <v>0</v>
      </c>
      <c r="J23" s="15">
        <f t="shared" ca="1" si="3"/>
        <v>17169.071859681826</v>
      </c>
      <c r="K23" s="20">
        <f t="shared" ca="1" si="4"/>
        <v>206028.86231618191</v>
      </c>
      <c r="M23" s="66">
        <f t="shared" ref="M23" ca="1" si="75">N21-2*(N21-N24)/3</f>
        <v>7.6088226988824031E-2</v>
      </c>
      <c r="N23" s="114">
        <f ca="1">'All Expenses'!S23</f>
        <v>0.11506671684885347</v>
      </c>
      <c r="O23" s="66">
        <f t="shared" ref="O23" ca="1" si="76">P21-2*(P21-P24)/3</f>
        <v>0.1016097710431411</v>
      </c>
      <c r="P23" s="114">
        <f t="shared" ca="1" si="0"/>
        <v>6.4225464438159643E-2</v>
      </c>
      <c r="Q23" s="66">
        <f ca="1">'All Expenses'!R23-0.01</f>
        <v>6.6088226988824036E-2</v>
      </c>
      <c r="R23" s="66">
        <f t="shared" ref="R23" ca="1" si="77">S21-2*(S21-S24)/3</f>
        <v>1.3451561233043179E-2</v>
      </c>
      <c r="S23" s="114">
        <f t="shared" ca="1" si="1"/>
        <v>7.9402418045523109E-3</v>
      </c>
      <c r="T23" s="66">
        <f t="shared" ref="T23" ca="1" si="78">U21-2*(U21-U24)/3</f>
        <v>6.5906698288261151E-2</v>
      </c>
      <c r="U23" s="114">
        <f t="shared" ca="1" si="5"/>
        <v>5.3794362428061369E-2</v>
      </c>
      <c r="V23" s="8"/>
    </row>
    <row r="24" spans="1:22">
      <c r="A24" s="3">
        <f t="shared" si="6"/>
        <v>85</v>
      </c>
      <c r="B24" s="3">
        <v>22</v>
      </c>
      <c r="C24" s="13">
        <f ca="1">'Soc Sec'!K24</f>
        <v>7326.1583719234586</v>
      </c>
      <c r="D24" s="14">
        <f ca="1">'Soc Sec'!Q24</f>
        <v>2673.0384461486133</v>
      </c>
      <c r="E24" s="14">
        <f ca="1">TSP!F25</f>
        <v>855.58651494122716</v>
      </c>
      <c r="F24" s="14">
        <f t="shared" ca="1" si="2"/>
        <v>5918.1490844437603</v>
      </c>
      <c r="G24" s="14">
        <f ca="1">Rentals!D23</f>
        <v>1010.7991456491379</v>
      </c>
      <c r="H24" s="14">
        <f ca="1">'IRA &amp; svgs'!G23</f>
        <v>486.91293858205717</v>
      </c>
      <c r="I24" s="14">
        <f>'PT work'!C23/12</f>
        <v>0</v>
      </c>
      <c r="J24" s="15">
        <f t="shared" ca="1" si="3"/>
        <v>18270.644501688254</v>
      </c>
      <c r="K24" s="20">
        <f t="shared" ca="1" si="4"/>
        <v>219247.73402025906</v>
      </c>
      <c r="M24" s="66">
        <f t="shared" ref="M24" ca="1" si="79">N24</f>
        <v>7.2561130055026624E-2</v>
      </c>
      <c r="N24" s="114">
        <f ca="1">'All Expenses'!S24</f>
        <v>7.2561130055026624E-2</v>
      </c>
      <c r="O24" s="66">
        <f t="shared" ref="O24" ca="1" si="80">P24</f>
        <v>9.6851931542385986E-2</v>
      </c>
      <c r="P24" s="114">
        <f t="shared" ca="1" si="0"/>
        <v>9.6851931542385986E-2</v>
      </c>
      <c r="Q24" s="66">
        <f ca="1">'All Expenses'!R24-0.01</f>
        <v>6.2561130055026629E-2</v>
      </c>
      <c r="R24" s="66">
        <f t="shared" ref="R24" ca="1" si="81">S24</f>
        <v>5.9244604495598324E-3</v>
      </c>
      <c r="S24" s="114">
        <f t="shared" ca="1" si="1"/>
        <v>5.9244604495598324E-3</v>
      </c>
      <c r="T24" s="66">
        <f t="shared" ref="T24" ca="1" si="82">U24</f>
        <v>6.4148719788545763E-2</v>
      </c>
      <c r="U24" s="114">
        <f t="shared" ca="1" si="5"/>
        <v>6.4148719788545763E-2</v>
      </c>
      <c r="V24" s="8"/>
    </row>
    <row r="25" spans="1:22">
      <c r="A25" s="3">
        <f t="shared" si="6"/>
        <v>86</v>
      </c>
      <c r="B25" s="3">
        <v>23</v>
      </c>
      <c r="C25" s="13">
        <f ca="1">'Soc Sec'!K25</f>
        <v>7857.7527023523189</v>
      </c>
      <c r="D25" s="14">
        <f ca="1">'Soc Sec'!Q25</f>
        <v>2837.1428928449191</v>
      </c>
      <c r="E25" s="14">
        <f ca="1">TSP!F26</f>
        <v>883.02827419174491</v>
      </c>
      <c r="F25" s="14">
        <f t="shared" ca="1" si="2"/>
        <v>6222.2974148999538</v>
      </c>
      <c r="G25" s="14">
        <f ca="1">Rentals!D24</f>
        <v>1016.9773542889287</v>
      </c>
      <c r="H25" s="14">
        <f ca="1">'IRA &amp; svgs'!G24</f>
        <v>495.79743762041494</v>
      </c>
      <c r="I25" s="14">
        <f>'PT work'!C24/12</f>
        <v>0</v>
      </c>
      <c r="J25" s="15">
        <f t="shared" ca="1" si="3"/>
        <v>19312.99607619828</v>
      </c>
      <c r="K25" s="20">
        <f t="shared" ca="1" si="4"/>
        <v>231755.95291437936</v>
      </c>
      <c r="M25" s="66">
        <f t="shared" ref="M25" ca="1" si="83">N24-(N24-N27)/3</f>
        <v>6.1392475268267112E-2</v>
      </c>
      <c r="N25" s="114">
        <f ca="1">'All Expenses'!S25</f>
        <v>0.10528499708261214</v>
      </c>
      <c r="O25" s="66">
        <f t="shared" ref="O25" ca="1" si="84">P24-(P24-P27)/3</f>
        <v>7.5076690535403598E-2</v>
      </c>
      <c r="P25" s="114">
        <f t="shared" ca="1" si="0"/>
        <v>0.10907267364860272</v>
      </c>
      <c r="Q25" s="66">
        <f ca="1">'All Expenses'!R25-0.01</f>
        <v>5.139247526826711E-2</v>
      </c>
      <c r="R25" s="66">
        <f t="shared" ref="R25" ca="1" si="85">S24-(S24-S27)/3</f>
        <v>6.1122020792994149E-3</v>
      </c>
      <c r="S25" s="114">
        <f t="shared" ca="1" si="1"/>
        <v>8.5571552118195622E-3</v>
      </c>
      <c r="T25" s="66">
        <f t="shared" ref="T25" ca="1" si="86">U24-(U24-U27)/3</f>
        <v>7.183851207618866E-2</v>
      </c>
      <c r="U25" s="114">
        <f t="shared" ca="1" si="5"/>
        <v>6.175648728291578E-2</v>
      </c>
      <c r="V25" s="8"/>
    </row>
    <row r="26" spans="1:22">
      <c r="A26" s="3">
        <f t="shared" si="6"/>
        <v>87</v>
      </c>
      <c r="B26" s="3">
        <v>24</v>
      </c>
      <c r="C26" s="13">
        <f ca="1">'Soc Sec'!K26</f>
        <v>8340.1595907956416</v>
      </c>
      <c r="D26" s="14">
        <f ca="1">'Soc Sec'!Q26</f>
        <v>2979.6350481755471</v>
      </c>
      <c r="E26" s="14">
        <f ca="1">TSP!F27</f>
        <v>892.89116273351522</v>
      </c>
      <c r="F26" s="14">
        <f t="shared" ca="1" si="2"/>
        <v>6472.581989099438</v>
      </c>
      <c r="G26" s="14">
        <f ca="1">Rentals!D25</f>
        <v>1023.3842543743162</v>
      </c>
      <c r="H26" s="14">
        <f ca="1">'IRA &amp; svgs'!G25</f>
        <v>508.46599878518413</v>
      </c>
      <c r="I26" s="14">
        <f>'PT work'!C25/12</f>
        <v>0</v>
      </c>
      <c r="J26" s="15">
        <f t="shared" ca="1" si="3"/>
        <v>20217.118043963641</v>
      </c>
      <c r="K26" s="20">
        <f t="shared" ca="1" si="4"/>
        <v>242605.41652756371</v>
      </c>
      <c r="M26" s="66">
        <f t="shared" ref="M26" ca="1" si="87">N24-2*(N24-N27)/3</f>
        <v>5.02238204815076E-2</v>
      </c>
      <c r="N26" s="114">
        <f ca="1">'All Expenses'!S26</f>
        <v>2.3211752546855279E-2</v>
      </c>
      <c r="O26" s="66">
        <f t="shared" ref="O26" ca="1" si="88">P24-2*(P24-P27)/3</f>
        <v>5.3301449528421203E-2</v>
      </c>
      <c r="P26" s="114">
        <f t="shared" ca="1" si="0"/>
        <v>6.4070703343996546E-2</v>
      </c>
      <c r="Q26" s="66">
        <f ca="1">'All Expenses'!R26-0.01</f>
        <v>4.0223820481507598E-2</v>
      </c>
      <c r="R26" s="66">
        <f t="shared" ref="R26" ca="1" si="89">S24-2*(S24-S27)/3</f>
        <v>6.2999437090389982E-3</v>
      </c>
      <c r="S26" s="114">
        <f t="shared" ca="1" si="1"/>
        <v>6.1218990244762172E-3</v>
      </c>
      <c r="T26" s="66">
        <f t="shared" ref="T26" ca="1" si="90">U24-2*(U24-U27)/3</f>
        <v>7.952830436383157E-2</v>
      </c>
      <c r="U26" s="114">
        <f t="shared" ca="1" si="5"/>
        <v>4.0310780839581867E-2</v>
      </c>
      <c r="V26" s="8"/>
    </row>
    <row r="27" spans="1:22">
      <c r="A27" s="3">
        <f t="shared" si="6"/>
        <v>88</v>
      </c>
      <c r="B27" s="3">
        <v>25</v>
      </c>
      <c r="C27" s="13">
        <f ca="1">'Soc Sec'!K27</f>
        <v>8759.0342688708861</v>
      </c>
      <c r="D27" s="14">
        <f ca="1">'Soc Sec'!Q27</f>
        <v>3096.0051886919214</v>
      </c>
      <c r="E27" s="14">
        <f ca="1">TSP!F28</f>
        <v>884.1990102881299</v>
      </c>
      <c r="F27" s="14">
        <f t="shared" ca="1" si="2"/>
        <v>6660.6439312655648</v>
      </c>
      <c r="G27" s="14">
        <f ca="1">Rentals!D26</f>
        <v>1030.0236493973573</v>
      </c>
      <c r="H27" s="14">
        <f ca="1">'IRA &amp; svgs'!G26</f>
        <v>525.17276364065776</v>
      </c>
      <c r="I27" s="14">
        <f>'PT work'!C26/12</f>
        <v>0</v>
      </c>
      <c r="J27" s="15">
        <f t="shared" ca="1" si="3"/>
        <v>20955.078812154516</v>
      </c>
      <c r="K27" s="20">
        <f t="shared" ca="1" si="4"/>
        <v>251460.94574585417</v>
      </c>
      <c r="M27" s="66">
        <f t="shared" ref="M27" ca="1" si="91">N27</f>
        <v>3.9055165694748088E-2</v>
      </c>
      <c r="N27" s="114">
        <f ca="1">'All Expenses'!S27</f>
        <v>3.9055165694748088E-2</v>
      </c>
      <c r="O27" s="66">
        <f t="shared" ref="O27" ca="1" si="92">P27</f>
        <v>3.1526208521438809E-2</v>
      </c>
      <c r="P27" s="114">
        <f t="shared" ca="1" si="0"/>
        <v>3.1526208521438809E-2</v>
      </c>
      <c r="Q27" s="66">
        <f ca="1">'All Expenses'!R27-0.01</f>
        <v>2.9055165694748086E-2</v>
      </c>
      <c r="R27" s="66">
        <f t="shared" ref="R27" ca="1" si="93">S27</f>
        <v>6.4876853387785807E-3</v>
      </c>
      <c r="S27" s="114">
        <f t="shared" ca="1" si="1"/>
        <v>6.4876853387785807E-3</v>
      </c>
      <c r="T27" s="66">
        <f t="shared" ref="T27" ca="1" si="94">U27</f>
        <v>8.7218096651474467E-2</v>
      </c>
      <c r="U27" s="114">
        <f t="shared" ca="1" si="5"/>
        <v>8.7218096651474467E-2</v>
      </c>
      <c r="V27" s="8"/>
    </row>
    <row r="28" spans="1:22">
      <c r="A28" s="3">
        <f t="shared" si="6"/>
        <v>89</v>
      </c>
      <c r="B28" s="3">
        <v>26</v>
      </c>
      <c r="C28" s="13">
        <f ca="1">'Soc Sec'!K28</f>
        <v>9101.1198035676134</v>
      </c>
      <c r="D28" s="14">
        <f ca="1">'Soc Sec'!Q28</f>
        <v>3222.9482877670816</v>
      </c>
      <c r="E28" s="14">
        <f ca="1">TSP!F29</f>
        <v>887.75968393724781</v>
      </c>
      <c r="F28" s="14">
        <f t="shared" ca="1" si="2"/>
        <v>6867.1387081780176</v>
      </c>
      <c r="G28" s="14">
        <f ca="1">Rentals!D27</f>
        <v>1044.1510983049286</v>
      </c>
      <c r="H28" s="14">
        <f ca="1">'IRA &amp; svgs'!G27</f>
        <v>530.74689793526261</v>
      </c>
      <c r="I28" s="14">
        <f>'PT work'!C27/12</f>
        <v>0</v>
      </c>
      <c r="J28" s="15">
        <f t="shared" ca="1" si="3"/>
        <v>21653.864479690154</v>
      </c>
      <c r="K28" s="20">
        <f t="shared" ca="1" si="4"/>
        <v>259846.37375628186</v>
      </c>
      <c r="M28" s="66">
        <f t="shared" ref="M28" ca="1" si="95">N27-(N27-N30)/3</f>
        <v>4.100222426590773E-2</v>
      </c>
      <c r="N28" s="114">
        <f ca="1">'All Expenses'!S28</f>
        <v>0.11780313603242497</v>
      </c>
      <c r="O28" s="66">
        <f t="shared" ref="O28" ca="1" si="96">P27-(P27-P30)/3</f>
        <v>4.5861463322179601E-2</v>
      </c>
      <c r="P28" s="114">
        <f t="shared" ca="1" si="0"/>
        <v>2.1912915805444359E-2</v>
      </c>
      <c r="Q28" s="66">
        <f ca="1">'All Expenses'!R28-0.01</f>
        <v>3.1002224265907728E-2</v>
      </c>
      <c r="R28" s="66">
        <f t="shared" ref="R28" ca="1" si="97">S27-(S27-S30)/3</f>
        <v>1.3715654893785189E-2</v>
      </c>
      <c r="S28" s="114">
        <f t="shared" ca="1" si="1"/>
        <v>2.122504274171183E-2</v>
      </c>
      <c r="T28" s="66">
        <f t="shared" ref="T28" ca="1" si="98">U27-(U27-U30)/3</f>
        <v>6.3804111473844252E-2</v>
      </c>
      <c r="U28" s="114">
        <f t="shared" ca="1" si="5"/>
        <v>-8.5208736934515271E-3</v>
      </c>
      <c r="V28" s="8"/>
    </row>
    <row r="29" spans="1:22">
      <c r="A29" s="3">
        <f t="shared" si="6"/>
        <v>90</v>
      </c>
      <c r="B29" s="3">
        <v>27</v>
      </c>
      <c r="C29" s="13">
        <f ca="1">'Soc Sec'!K29</f>
        <v>9474.2859588243882</v>
      </c>
      <c r="D29" s="14">
        <f ca="1">'Soc Sec'!Q29</f>
        <v>3361.3716053476323</v>
      </c>
      <c r="E29" s="14">
        <f ca="1">TSP!F30</f>
        <v>903.55190725642694</v>
      </c>
      <c r="F29" s="14">
        <f t="shared" ca="1" si="2"/>
        <v>7093.406003755149</v>
      </c>
      <c r="G29" s="14">
        <f ca="1">Rentals!D28</f>
        <v>1066.0194067756206</v>
      </c>
      <c r="H29" s="14">
        <f ca="1">'IRA &amp; svgs'!G28</f>
        <v>524.57464056548213</v>
      </c>
      <c r="I29" s="14">
        <f>'PT work'!C28/12</f>
        <v>0</v>
      </c>
      <c r="J29" s="15">
        <f t="shared" ca="1" si="3"/>
        <v>22423.209522524699</v>
      </c>
      <c r="K29" s="20">
        <f t="shared" ca="1" si="4"/>
        <v>269078.51427029638</v>
      </c>
      <c r="M29" s="66">
        <f t="shared" ref="M29" ca="1" si="99">N27-2*(N27-N30)/3</f>
        <v>4.2949282837067365E-2</v>
      </c>
      <c r="N29" s="114">
        <f ca="1">'All Expenses'!S29</f>
        <v>1.3161010818464545E-4</v>
      </c>
      <c r="O29" s="66">
        <f t="shared" ref="O29" ca="1" si="100">P27-2*(P27-P30)/3</f>
        <v>6.0196718122920392E-2</v>
      </c>
      <c r="P29" s="114">
        <f t="shared" ca="1" si="0"/>
        <v>-1.9476410367471712E-3</v>
      </c>
      <c r="Q29" s="66">
        <f ca="1">'All Expenses'!R29-0.01</f>
        <v>3.2949282837067363E-2</v>
      </c>
      <c r="R29" s="66">
        <f t="shared" ref="R29" ca="1" si="101">S27-2*(S27-S30)/3</f>
        <v>2.0943624448791796E-2</v>
      </c>
      <c r="S29" s="114">
        <f t="shared" ca="1" si="1"/>
        <v>4.1499477461267231E-3</v>
      </c>
      <c r="T29" s="66">
        <f t="shared" ref="T29" ca="1" si="102">U27-2*(U27-U30)/3</f>
        <v>4.0390126296214038E-2</v>
      </c>
      <c r="U29" s="114">
        <f t="shared" ca="1" si="5"/>
        <v>5.4937257102148761E-3</v>
      </c>
      <c r="V29" s="8"/>
    </row>
    <row r="30" spans="1:22">
      <c r="A30" s="3">
        <f t="shared" si="6"/>
        <v>91</v>
      </c>
      <c r="B30" s="3">
        <v>28</v>
      </c>
      <c r="C30" s="13">
        <f ca="1">'Soc Sec'!K30</f>
        <v>9881.1997461491937</v>
      </c>
      <c r="D30" s="14">
        <f ca="1">'Soc Sec'!Q30</f>
        <v>3512.28489254124</v>
      </c>
      <c r="E30" s="14">
        <f ca="1">TSP!F31</f>
        <v>932.05959700145786</v>
      </c>
      <c r="F30" s="14">
        <f t="shared" ca="1" si="2"/>
        <v>7340.9399214093564</v>
      </c>
      <c r="G30" s="14">
        <f ca="1">Rentals!D29</f>
        <v>1096.0508727034733</v>
      </c>
      <c r="H30" s="14">
        <f ca="1">'IRA &amp; svgs'!G29</f>
        <v>506.80589900640456</v>
      </c>
      <c r="I30" s="14">
        <f>'PT work'!C29/12</f>
        <v>0</v>
      </c>
      <c r="J30" s="15">
        <f t="shared" ca="1" si="3"/>
        <v>23269.340928811125</v>
      </c>
      <c r="K30" s="20">
        <f t="shared" ca="1" si="4"/>
        <v>279232.09114573349</v>
      </c>
      <c r="M30" s="66">
        <f t="shared" ref="M30" ca="1" si="103">N30</f>
        <v>4.4896341408227007E-2</v>
      </c>
      <c r="N30" s="114">
        <f ca="1">'All Expenses'!S30</f>
        <v>4.4896341408227007E-2</v>
      </c>
      <c r="O30" s="66">
        <f t="shared" ref="O30" ca="1" si="104">P30</f>
        <v>7.4531972923661191E-2</v>
      </c>
      <c r="P30" s="114">
        <f t="shared" ca="1" si="0"/>
        <v>7.4531972923661191E-2</v>
      </c>
      <c r="Q30" s="66">
        <f ca="1">'All Expenses'!R30-0.01</f>
        <v>3.4896341408227005E-2</v>
      </c>
      <c r="R30" s="66">
        <f t="shared" ref="R30" ca="1" si="105">S30</f>
        <v>2.8171594003798404E-2</v>
      </c>
      <c r="S30" s="114">
        <f t="shared" ca="1" si="1"/>
        <v>2.8171594003798404E-2</v>
      </c>
      <c r="T30" s="66">
        <f t="shared" ref="T30" ca="1" si="106">U30</f>
        <v>1.6976141118583817E-2</v>
      </c>
      <c r="U30" s="114">
        <f t="shared" ca="1" si="5"/>
        <v>1.6976141118583817E-2</v>
      </c>
      <c r="V30" s="8"/>
    </row>
    <row r="31" spans="1:22">
      <c r="A31" s="3">
        <f t="shared" si="6"/>
        <v>92</v>
      </c>
      <c r="B31" s="3">
        <v>29</v>
      </c>
      <c r="C31" s="13">
        <f ca="1">'Soc Sec'!K31</f>
        <v>10324.829463475195</v>
      </c>
      <c r="D31" s="14">
        <f ca="1">'Soc Sec'!Q31</f>
        <v>3651.2519539527957</v>
      </c>
      <c r="E31" s="14">
        <f ca="1">TSP!F32</f>
        <v>965.46029919167597</v>
      </c>
      <c r="F31" s="14">
        <f t="shared" ca="1" si="2"/>
        <v>7557.9821455938782</v>
      </c>
      <c r="G31" s="14">
        <f ca="1">Rentals!D30</f>
        <v>1117.4824634146285</v>
      </c>
      <c r="H31" s="14">
        <f ca="1">'IRA &amp; svgs'!G30</f>
        <v>496.55203681552416</v>
      </c>
      <c r="I31" s="14">
        <f>'PT work'!C30/12</f>
        <v>0</v>
      </c>
      <c r="J31" s="15">
        <f t="shared" ca="1" si="3"/>
        <v>24113.558362443695</v>
      </c>
      <c r="K31" s="20">
        <f t="shared" ca="1" si="4"/>
        <v>289362.70034932432</v>
      </c>
      <c r="M31" s="66">
        <f t="shared" ref="M31" ca="1" si="107">N30-(N30-N33)/3</f>
        <v>3.9565999246436029E-2</v>
      </c>
      <c r="N31" s="114">
        <f ca="1">'All Expenses'!S31</f>
        <v>6.8136066843918625E-2</v>
      </c>
      <c r="O31" s="66">
        <f t="shared" ref="O31" ca="1" si="108">P30-(P30-P33)/3</f>
        <v>7.8995178949295086E-2</v>
      </c>
      <c r="P31" s="114">
        <f t="shared" ca="1" si="0"/>
        <v>4.920100505352798E-2</v>
      </c>
      <c r="Q31" s="66">
        <f ca="1">'All Expenses'!R31-0.01</f>
        <v>2.9565999246436027E-2</v>
      </c>
      <c r="R31" s="66">
        <f t="shared" ref="R31" ca="1" si="109">S30-(S30-S33)/3</f>
        <v>1.9553463479567289E-2</v>
      </c>
      <c r="S31" s="114">
        <f t="shared" ca="1" si="1"/>
        <v>2.4107906863911083E-2</v>
      </c>
      <c r="T31" s="66">
        <f t="shared" ref="T31" ca="1" si="110">U30-(U30-U33)/3</f>
        <v>3.1334393635484896E-2</v>
      </c>
      <c r="U31" s="114">
        <f t="shared" ca="1" si="5"/>
        <v>2.5838680138708249E-2</v>
      </c>
      <c r="V31" s="8"/>
    </row>
    <row r="32" spans="1:22">
      <c r="A32" s="3">
        <f t="shared" si="6"/>
        <v>93</v>
      </c>
      <c r="B32" s="3">
        <v>30</v>
      </c>
      <c r="C32" s="13">
        <f ca="1">'Soc Sec'!K32</f>
        <v>10733.341658246636</v>
      </c>
      <c r="D32" s="14">
        <f ca="1">'Soc Sec'!Q32</f>
        <v>3776.2549637779643</v>
      </c>
      <c r="E32" s="14">
        <f ca="1">TSP!F33</f>
        <v>1004.19461425884</v>
      </c>
      <c r="F32" s="14">
        <f t="shared" ca="1" si="2"/>
        <v>7741.1548091263621</v>
      </c>
      <c r="G32" s="14">
        <f ca="1">Rentals!D31</f>
        <v>1129.7025062238167</v>
      </c>
      <c r="H32" s="14">
        <f ca="1">'IRA &amp; svgs'!G31</f>
        <v>493.27877266348327</v>
      </c>
      <c r="I32" s="14">
        <f>'PT work'!C31/12</f>
        <v>0</v>
      </c>
      <c r="J32" s="15">
        <f t="shared" ca="1" si="3"/>
        <v>24877.927324297103</v>
      </c>
      <c r="K32" s="20">
        <f t="shared" ca="1" si="4"/>
        <v>298535.12789156521</v>
      </c>
      <c r="M32" s="66">
        <f t="shared" ref="M32" ca="1" si="111">N30-2*(N30-N33)/3</f>
        <v>3.4235657084645058E-2</v>
      </c>
      <c r="N32" s="114">
        <f ca="1">'All Expenses'!S32</f>
        <v>9.7896704303482684E-2</v>
      </c>
      <c r="O32" s="66">
        <f t="shared" ref="O32" ca="1" si="112">P30-2*(P30-P33)/3</f>
        <v>8.3458384974928995E-2</v>
      </c>
      <c r="P32" s="114">
        <f t="shared" ca="1" si="0"/>
        <v>9.7066448323668494E-2</v>
      </c>
      <c r="Q32" s="66">
        <f ca="1">'All Expenses'!R32-0.01</f>
        <v>2.4235657084645056E-2</v>
      </c>
      <c r="R32" s="66">
        <f t="shared" ref="R32" ca="1" si="113">S30-2*(S30-S33)/3</f>
        <v>1.0935332955336177E-2</v>
      </c>
      <c r="S32" s="114">
        <f t="shared" ca="1" si="1"/>
        <v>2.2514141178688961E-2</v>
      </c>
      <c r="T32" s="66">
        <f t="shared" ref="T32" ca="1" si="114">U30-2*(U30-U33)/3</f>
        <v>4.5692646152385975E-2</v>
      </c>
      <c r="U32" s="114">
        <f t="shared" ca="1" si="5"/>
        <v>6.5891847125464989E-2</v>
      </c>
      <c r="V32" s="8"/>
    </row>
    <row r="33" spans="1:22">
      <c r="A33" s="3">
        <f t="shared" si="6"/>
        <v>94</v>
      </c>
      <c r="B33" s="3">
        <v>31</v>
      </c>
      <c r="C33" s="13">
        <f ca="1">'Soc Sec'!K33</f>
        <v>11100.804662630704</v>
      </c>
      <c r="D33" s="14">
        <f ca="1">'Soc Sec'!Q33</f>
        <v>3885.4088027349571</v>
      </c>
      <c r="E33" s="14">
        <f ca="1">TSP!F34</f>
        <v>1048.7856023219267</v>
      </c>
      <c r="F33" s="14">
        <f t="shared" ca="1" si="2"/>
        <v>7887.503778659463</v>
      </c>
      <c r="G33" s="14">
        <f ca="1">Rentals!D32</f>
        <v>1132.3202556176639</v>
      </c>
      <c r="H33" s="14">
        <f ca="1">'IRA &amp; svgs'!G32</f>
        <v>496.75557594358798</v>
      </c>
      <c r="I33" s="14">
        <f>'PT work'!C32/12</f>
        <v>0</v>
      </c>
      <c r="J33" s="15">
        <f t="shared" ca="1" si="3"/>
        <v>25551.578677908303</v>
      </c>
      <c r="K33" s="20">
        <f t="shared" ca="1" si="4"/>
        <v>306618.94413489965</v>
      </c>
      <c r="M33" s="66">
        <f t="shared" ref="M33" ca="1" si="115">N33</f>
        <v>2.8905314922854079E-2</v>
      </c>
      <c r="N33" s="114">
        <f ca="1">'All Expenses'!S33</f>
        <v>2.8905314922854079E-2</v>
      </c>
      <c r="O33" s="66">
        <f t="shared" ref="O33" ca="1" si="116">P33</f>
        <v>8.792159100056289E-2</v>
      </c>
      <c r="P33" s="114">
        <f t="shared" ca="1" si="0"/>
        <v>8.792159100056289E-2</v>
      </c>
      <c r="Q33" s="66">
        <f ca="1">'All Expenses'!R33-0.01</f>
        <v>1.8905314922854077E-2</v>
      </c>
      <c r="R33" s="66">
        <f t="shared" ref="R33" ca="1" si="117">S33</f>
        <v>2.3172024311050613E-3</v>
      </c>
      <c r="S33" s="114">
        <f t="shared" ca="1" si="1"/>
        <v>2.3172024311050613E-3</v>
      </c>
      <c r="T33" s="66">
        <f t="shared" ref="T33" ca="1" si="118">U33</f>
        <v>6.0050898669287055E-2</v>
      </c>
      <c r="U33" s="114">
        <f t="shared" ca="1" si="5"/>
        <v>6.0050898669287055E-2</v>
      </c>
      <c r="V33" s="8"/>
    </row>
    <row r="34" spans="1:22">
      <c r="A34" s="3">
        <f t="shared" si="6"/>
        <v>95</v>
      </c>
      <c r="B34" s="3">
        <v>32</v>
      </c>
      <c r="C34" s="13">
        <f ca="1">'Soc Sec'!K34</f>
        <v>11421.676917301131</v>
      </c>
      <c r="D34" s="14">
        <f ca="1">'Soc Sec'!Q34</f>
        <v>3995.9282071913899</v>
      </c>
      <c r="E34" s="14">
        <f ca="1">TSP!F35</f>
        <v>1066.9019409737282</v>
      </c>
      <c r="F34" s="14">
        <f t="shared" ca="1" si="2"/>
        <v>8032.9866564805379</v>
      </c>
      <c r="G34" s="14">
        <f ca="1">Rentals!D33</f>
        <v>1142.0505483959751</v>
      </c>
      <c r="H34" s="14">
        <f ca="1">'IRA &amp; svgs'!G33</f>
        <v>500.26260248988507</v>
      </c>
      <c r="I34" s="14">
        <f>'PT work'!C33/12</f>
        <v>0</v>
      </c>
      <c r="J34" s="15">
        <f t="shared" ca="1" si="3"/>
        <v>26159.806872832647</v>
      </c>
      <c r="K34" s="20">
        <f t="shared" ca="1" si="4"/>
        <v>313917.68247399176</v>
      </c>
      <c r="M34" s="66">
        <f t="shared" ref="M34" ca="1" si="119">N33-(N33-N36)/3</f>
        <v>2.8444730031660263E-2</v>
      </c>
      <c r="N34" s="114">
        <f ca="1">'All Expenses'!S34</f>
        <v>1.3031713740833445E-2</v>
      </c>
      <c r="O34" s="66">
        <f t="shared" ref="O34" ca="1" si="120">P33-(P33-P36)/3</f>
        <v>5.9660035429402555E-2</v>
      </c>
      <c r="P34" s="114">
        <f t="shared" ca="1" si="0"/>
        <v>9.8206986462116355E-2</v>
      </c>
      <c r="Q34" s="66">
        <f ca="1">'All Expenses'!R34-0.01</f>
        <v>1.8444730031660264E-2</v>
      </c>
      <c r="R34" s="66">
        <f t="shared" ref="R34" ca="1" si="121">S33-(S33-S36)/3</f>
        <v>8.5932338753432862E-3</v>
      </c>
      <c r="S34" s="114">
        <f t="shared" ca="1" si="1"/>
        <v>2.8502071854625322E-2</v>
      </c>
      <c r="T34" s="66">
        <f t="shared" ref="T34" ca="1" si="122">U33-(U33-U36)/3</f>
        <v>6.0063014183554239E-2</v>
      </c>
      <c r="U34" s="114">
        <f t="shared" ca="1" si="5"/>
        <v>-3.4539101306064668E-3</v>
      </c>
      <c r="V34" s="8"/>
    </row>
    <row r="35" spans="1:22">
      <c r="A35" s="3">
        <f t="shared" si="6"/>
        <v>96</v>
      </c>
      <c r="B35" s="3">
        <v>33</v>
      </c>
      <c r="C35" s="13">
        <f ca="1">'Soc Sec'!K35</f>
        <v>11746.563433722607</v>
      </c>
      <c r="D35" s="14">
        <f ca="1">'Soc Sec'!Q35</f>
        <v>4107.7508421123184</v>
      </c>
      <c r="E35" s="14">
        <f ca="1">TSP!F36</f>
        <v>1056.384998474987</v>
      </c>
      <c r="F35" s="14">
        <f t="shared" ca="1" si="2"/>
        <v>8177.4530544221152</v>
      </c>
      <c r="G35" s="14">
        <f ca="1">Rentals!D34</f>
        <v>1159.0320010084483</v>
      </c>
      <c r="H35" s="14">
        <f ca="1">'IRA &amp; svgs'!G34</f>
        <v>503.80014605656288</v>
      </c>
      <c r="I35" s="14">
        <f>'PT work'!C34/12</f>
        <v>0</v>
      </c>
      <c r="J35" s="15">
        <f t="shared" ca="1" si="3"/>
        <v>26750.984475797042</v>
      </c>
      <c r="K35" s="20">
        <f t="shared" ca="1" si="4"/>
        <v>321011.81370956451</v>
      </c>
      <c r="M35" s="66">
        <f t="shared" ref="M35" ca="1" si="123">N33-2*(N33-N36)/3</f>
        <v>2.7984145140466442E-2</v>
      </c>
      <c r="N35" s="114">
        <f ca="1">'All Expenses'!S35</f>
        <v>7.7609497284891749E-2</v>
      </c>
      <c r="O35" s="66">
        <f t="shared" ref="O35" ca="1" si="124">P33-2*(P33-P36)/3</f>
        <v>3.1398479858242227E-2</v>
      </c>
      <c r="P35" s="114">
        <f t="shared" ca="1" si="0"/>
        <v>9.1852020249110322E-2</v>
      </c>
      <c r="Q35" s="66">
        <f ca="1">'All Expenses'!R35-0.01</f>
        <v>1.7984145140466444E-2</v>
      </c>
      <c r="R35" s="66">
        <f t="shared" ref="R35" ca="1" si="125">S33-2*(S33-S36)/3</f>
        <v>1.486926531958151E-2</v>
      </c>
      <c r="S35" s="114">
        <f t="shared" ca="1" si="1"/>
        <v>-3.9821773343727378E-5</v>
      </c>
      <c r="T35" s="66">
        <f t="shared" ref="T35" ca="1" si="126">U33-2*(U33-U36)/3</f>
        <v>6.0075129697821431E-2</v>
      </c>
      <c r="U35" s="114">
        <f t="shared" ca="1" si="5"/>
        <v>2.6601200083451154E-2</v>
      </c>
      <c r="V35" s="8"/>
    </row>
    <row r="36" spans="1:22">
      <c r="A36" s="3">
        <f t="shared" si="6"/>
        <v>97</v>
      </c>
      <c r="B36" s="3">
        <v>34</v>
      </c>
      <c r="C36" s="13">
        <f ca="1">'Soc Sec'!K36</f>
        <v>12075.280969753598</v>
      </c>
      <c r="D36" s="14">
        <f ca="1">'Soc Sec'!Q36</f>
        <v>4220.8107699041975</v>
      </c>
      <c r="E36" s="14">
        <f ca="1">TSP!F37</f>
        <v>1017.3108463038839</v>
      </c>
      <c r="F36" s="14">
        <f t="shared" ca="1" si="2"/>
        <v>8320.7511457068795</v>
      </c>
      <c r="G36" s="14">
        <f ca="1">Rentals!D35</f>
        <v>1183.5400766285356</v>
      </c>
      <c r="H36" s="14">
        <f ca="1">'IRA &amp; svgs'!G35</f>
        <v>507.36850352202208</v>
      </c>
      <c r="I36" s="14">
        <f>'PT work'!C35/12</f>
        <v>0</v>
      </c>
      <c r="J36" s="15">
        <f t="shared" ca="1" si="3"/>
        <v>27325.062311819114</v>
      </c>
      <c r="K36" s="20">
        <f t="shared" ca="1" si="4"/>
        <v>327900.74774182937</v>
      </c>
      <c r="M36" s="66">
        <f t="shared" ref="M36" ca="1" si="127">N36</f>
        <v>2.7523560249272626E-2</v>
      </c>
      <c r="N36" s="114">
        <f ca="1">'All Expenses'!S36</f>
        <v>2.7523560249272626E-2</v>
      </c>
      <c r="O36" s="66">
        <f t="shared" ref="O36" ca="1" si="128">P36</f>
        <v>3.1369242870818992E-3</v>
      </c>
      <c r="P36" s="114">
        <f t="shared" ca="1" si="0"/>
        <v>3.1369242870818992E-3</v>
      </c>
      <c r="Q36" s="66">
        <f ca="1">'All Expenses'!R36-0.01</f>
        <v>1.7523560249272624E-2</v>
      </c>
      <c r="R36" s="66">
        <f t="shared" ref="R36" ca="1" si="129">S36</f>
        <v>2.1145296763819734E-2</v>
      </c>
      <c r="S36" s="114">
        <f t="shared" ca="1" si="1"/>
        <v>2.1145296763819734E-2</v>
      </c>
      <c r="T36" s="66">
        <f t="shared" ref="T36" ca="1" si="130">U36</f>
        <v>6.0087245212088615E-2</v>
      </c>
      <c r="U36" s="114">
        <f t="shared" ca="1" si="5"/>
        <v>6.0087245212088615E-2</v>
      </c>
      <c r="V36" s="8"/>
    </row>
    <row r="37" spans="1:22" ht="12.75" thickBot="1">
      <c r="A37" s="3">
        <f t="shared" si="6"/>
        <v>98</v>
      </c>
      <c r="B37" s="3">
        <v>35</v>
      </c>
      <c r="C37" s="13">
        <f ca="1">'Soc Sec'!K37</f>
        <v>12407.635693051507</v>
      </c>
      <c r="D37" s="14">
        <f ca="1">'Soc Sec'!Q37</f>
        <v>4298.258596255022</v>
      </c>
      <c r="E37" s="16">
        <f ca="1">TSP!F38</f>
        <v>978.6607977965491</v>
      </c>
      <c r="F37" s="16">
        <f t="shared" ca="1" si="2"/>
        <v>8390.221431235188</v>
      </c>
      <c r="G37" s="16">
        <f ca="1">Rentals!D36</f>
        <v>1200.2242807299922</v>
      </c>
      <c r="H37" s="16">
        <f ca="1">'IRA &amp; svgs'!G36</f>
        <v>501.30811627913249</v>
      </c>
      <c r="I37" s="16">
        <v>0</v>
      </c>
      <c r="J37" s="17">
        <f t="shared" ca="1" si="3"/>
        <v>27776.308915347388</v>
      </c>
      <c r="K37" s="21">
        <f t="shared" ca="1" si="4"/>
        <v>333315.70698416868</v>
      </c>
      <c r="M37" s="66">
        <f t="shared" ref="M37" ca="1" si="131">N36-(N36-N39)/3</f>
        <v>1.8349040166181753E-2</v>
      </c>
      <c r="N37" s="114">
        <f ca="1">'All Expenses'!S37</f>
        <v>4.0436629047223109E-2</v>
      </c>
      <c r="O37" s="66">
        <f t="shared" ref="O37" ca="1" si="132">P36-(P36-P39)/3</f>
        <v>2.0912828580545995E-3</v>
      </c>
      <c r="P37" s="114">
        <f t="shared" ca="1" si="0"/>
        <v>8.0432173768972659E-2</v>
      </c>
      <c r="Q37" s="66">
        <f ca="1">'All Expenses'!R37-0.01</f>
        <v>8.3490401661817527E-3</v>
      </c>
      <c r="R37" s="66">
        <f t="shared" ref="R37" ca="1" si="133">S36-(S36-S39)/3</f>
        <v>1.4096864509213155E-2</v>
      </c>
      <c r="S37" s="114">
        <f t="shared" ca="1" si="1"/>
        <v>4.3657893976566135E-3</v>
      </c>
      <c r="T37" s="66">
        <f t="shared" ref="T37" ca="1" si="134">U36-(U36-U39)/3</f>
        <v>4.0058163474725739E-2</v>
      </c>
      <c r="U37" s="114">
        <f t="shared" ca="1" si="5"/>
        <v>8.7765169303702581E-2</v>
      </c>
      <c r="V37" s="8"/>
    </row>
  </sheetData>
  <mergeCells count="2">
    <mergeCell ref="C1:J1"/>
    <mergeCell ref="M1:V1"/>
  </mergeCells>
  <phoneticPr fontId="2"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G38"/>
  <sheetViews>
    <sheetView workbookViewId="0">
      <selection activeCell="M4" sqref="M4"/>
    </sheetView>
  </sheetViews>
  <sheetFormatPr defaultRowHeight="12.75"/>
  <cols>
    <col min="1" max="1" width="5.85546875" customWidth="1"/>
    <col min="2" max="2" width="10.42578125" customWidth="1"/>
    <col min="3" max="3" width="9.140625" style="22"/>
    <col min="4" max="4" width="11.5703125" customWidth="1"/>
    <col min="7" max="7" width="11.140625" customWidth="1"/>
  </cols>
  <sheetData>
    <row r="1" spans="1:7">
      <c r="B1" t="s">
        <v>113</v>
      </c>
      <c r="C1" s="27">
        <f>'Q&amp;A'!A6</f>
        <v>200000</v>
      </c>
      <c r="E1" s="23"/>
      <c r="F1" s="23"/>
    </row>
    <row r="2" spans="1:7">
      <c r="E2" s="23"/>
      <c r="F2" s="23"/>
    </row>
    <row r="3" spans="1:7" s="1" customFormat="1" ht="38.25">
      <c r="A3" s="1" t="s">
        <v>187</v>
      </c>
      <c r="B3" s="1" t="s">
        <v>0</v>
      </c>
      <c r="C3" s="25" t="s">
        <v>114</v>
      </c>
      <c r="D3" s="1" t="s">
        <v>115</v>
      </c>
      <c r="E3" s="26" t="s">
        <v>116</v>
      </c>
      <c r="F3" s="26" t="s">
        <v>117</v>
      </c>
      <c r="G3" s="1" t="s">
        <v>118</v>
      </c>
    </row>
    <row r="4" spans="1:7">
      <c r="A4">
        <f>'Q&amp;A'!A4</f>
        <v>64</v>
      </c>
      <c r="B4">
        <v>1</v>
      </c>
      <c r="C4" s="24">
        <f ca="1">'All Income'!O3</f>
        <v>9.4057840584485408E-2</v>
      </c>
      <c r="D4" s="22">
        <f ca="1">C1*(1+C4)</f>
        <v>218811.56811689708</v>
      </c>
      <c r="E4" s="77">
        <f>'Q&amp;A'!A7</f>
        <v>0.04</v>
      </c>
      <c r="F4" s="27">
        <f ca="1">D4*E4/12</f>
        <v>729.37189372299019</v>
      </c>
      <c r="G4" s="22">
        <f ca="1">D4-F4*12</f>
        <v>210059.10539222119</v>
      </c>
    </row>
    <row r="5" spans="1:7">
      <c r="A5">
        <f>A4+1</f>
        <v>65</v>
      </c>
      <c r="B5">
        <v>2</v>
      </c>
      <c r="C5" s="24">
        <f ca="1">'All Income'!O4</f>
        <v>8.1694518605932201E-2</v>
      </c>
      <c r="D5" s="22">
        <f ca="1">G4*(1+C5)</f>
        <v>227219.78288603146</v>
      </c>
      <c r="E5" s="77">
        <f>E4</f>
        <v>0.04</v>
      </c>
      <c r="F5" s="27">
        <f ca="1">D5*E5/12</f>
        <v>757.39927628677151</v>
      </c>
      <c r="G5" s="22">
        <f t="shared" ref="G5:G38" ca="1" si="0">D5-F5*12</f>
        <v>218130.99157059021</v>
      </c>
    </row>
    <row r="6" spans="1:7">
      <c r="A6">
        <f t="shared" ref="A6:A38" si="1">A5+1</f>
        <v>66</v>
      </c>
      <c r="B6">
        <v>3</v>
      </c>
      <c r="C6" s="24">
        <f ca="1">'All Income'!O5</f>
        <v>6.9331196627379008E-2</v>
      </c>
      <c r="D6" s="22">
        <f t="shared" ref="D6:D38" ca="1" si="2">G5*(1+C6)</f>
        <v>233254.27423769596</v>
      </c>
      <c r="E6" s="77">
        <f t="shared" ref="E6:E38" si="3">E5</f>
        <v>0.04</v>
      </c>
      <c r="F6" s="27">
        <f t="shared" ref="F6:F38" ca="1" si="4">D6*E6/12</f>
        <v>777.51424745898657</v>
      </c>
      <c r="G6" s="22">
        <f t="shared" ca="1" si="0"/>
        <v>223924.10326818813</v>
      </c>
    </row>
    <row r="7" spans="1:7">
      <c r="A7">
        <f t="shared" si="1"/>
        <v>67</v>
      </c>
      <c r="B7">
        <v>4</v>
      </c>
      <c r="C7" s="24">
        <f ca="1">'All Income'!O6</f>
        <v>5.69678746488258E-2</v>
      </c>
      <c r="D7" s="22">
        <f t="shared" ca="1" si="2"/>
        <v>236680.58351402101</v>
      </c>
      <c r="E7" s="77">
        <f t="shared" si="3"/>
        <v>0.04</v>
      </c>
      <c r="F7" s="27">
        <f t="shared" ca="1" si="4"/>
        <v>788.93527838007003</v>
      </c>
      <c r="G7" s="22">
        <f t="shared" ca="1" si="0"/>
        <v>227213.36017346018</v>
      </c>
    </row>
    <row r="8" spans="1:7">
      <c r="A8">
        <f t="shared" si="1"/>
        <v>68</v>
      </c>
      <c r="B8">
        <v>5</v>
      </c>
      <c r="C8" s="24">
        <f ca="1">'All Income'!O7</f>
        <v>3.6794489106875494E-2</v>
      </c>
      <c r="D8" s="22">
        <f t="shared" ca="1" si="2"/>
        <v>235573.55967929913</v>
      </c>
      <c r="E8" s="77">
        <f t="shared" si="3"/>
        <v>0.04</v>
      </c>
      <c r="F8" s="27">
        <f t="shared" ca="1" si="4"/>
        <v>785.24519893099705</v>
      </c>
      <c r="G8" s="22">
        <f t="shared" ca="1" si="0"/>
        <v>226150.61729212716</v>
      </c>
    </row>
    <row r="9" spans="1:7">
      <c r="A9">
        <f t="shared" si="1"/>
        <v>69</v>
      </c>
      <c r="B9">
        <v>6</v>
      </c>
      <c r="C9" s="24">
        <f ca="1">'All Income'!O8</f>
        <v>1.6621103564925181E-2</v>
      </c>
      <c r="D9" s="22">
        <f t="shared" ca="1" si="2"/>
        <v>229909.49012341135</v>
      </c>
      <c r="E9" s="77">
        <f t="shared" si="3"/>
        <v>0.04</v>
      </c>
      <c r="F9" s="27">
        <f t="shared" ca="1" si="4"/>
        <v>766.36496707803781</v>
      </c>
      <c r="G9" s="22">
        <f t="shared" ca="1" si="0"/>
        <v>220713.11051847489</v>
      </c>
    </row>
    <row r="10" spans="1:7">
      <c r="A10">
        <f t="shared" si="1"/>
        <v>70</v>
      </c>
      <c r="B10">
        <v>7</v>
      </c>
      <c r="C10" s="24">
        <f ca="1">'All Income'!O9</f>
        <v>-3.5522819770251284E-3</v>
      </c>
      <c r="D10" s="22">
        <f t="shared" ca="1" si="2"/>
        <v>219929.07531388695</v>
      </c>
      <c r="E10" s="77">
        <f t="shared" si="3"/>
        <v>0.04</v>
      </c>
      <c r="F10" s="27">
        <f t="shared" ca="1" si="4"/>
        <v>733.0969177129565</v>
      </c>
      <c r="G10" s="22">
        <f t="shared" ca="1" si="0"/>
        <v>211131.91230133147</v>
      </c>
    </row>
    <row r="11" spans="1:7">
      <c r="A11">
        <f t="shared" si="1"/>
        <v>71</v>
      </c>
      <c r="B11">
        <v>8</v>
      </c>
      <c r="C11" s="24">
        <f ca="1">'All Income'!O10</f>
        <v>-2.6285163926342663E-3</v>
      </c>
      <c r="D11" s="22">
        <f t="shared" ca="1" si="2"/>
        <v>210576.94860883919</v>
      </c>
      <c r="E11" s="77">
        <f t="shared" si="3"/>
        <v>0.04</v>
      </c>
      <c r="F11" s="27">
        <f t="shared" ca="1" si="4"/>
        <v>701.92316202946404</v>
      </c>
      <c r="G11" s="22">
        <f t="shared" ca="1" si="0"/>
        <v>202153.87066448561</v>
      </c>
    </row>
    <row r="12" spans="1:7">
      <c r="A12">
        <f t="shared" si="1"/>
        <v>72</v>
      </c>
      <c r="B12">
        <v>9</v>
      </c>
      <c r="C12" s="24">
        <f ca="1">'All Income'!O11</f>
        <v>-1.7047508082434042E-3</v>
      </c>
      <c r="D12" s="22">
        <f t="shared" ca="1" si="2"/>
        <v>201809.2486900808</v>
      </c>
      <c r="E12" s="77">
        <f t="shared" si="3"/>
        <v>0.04</v>
      </c>
      <c r="F12" s="27">
        <f t="shared" ca="1" si="4"/>
        <v>672.69749563360267</v>
      </c>
      <c r="G12" s="22">
        <f t="shared" ca="1" si="0"/>
        <v>193736.87874247757</v>
      </c>
    </row>
    <row r="13" spans="1:7">
      <c r="A13">
        <f t="shared" si="1"/>
        <v>73</v>
      </c>
      <c r="B13">
        <v>10</v>
      </c>
      <c r="C13" s="24">
        <f ca="1">'All Income'!O12</f>
        <v>-7.8098522385254207E-4</v>
      </c>
      <c r="D13" s="22">
        <f t="shared" ca="1" si="2"/>
        <v>193585.57310286438</v>
      </c>
      <c r="E13" s="77">
        <f t="shared" si="3"/>
        <v>0.04</v>
      </c>
      <c r="F13" s="27">
        <f t="shared" ca="1" si="4"/>
        <v>645.28524367621458</v>
      </c>
      <c r="G13" s="22">
        <f t="shared" ca="1" si="0"/>
        <v>185842.15017874981</v>
      </c>
    </row>
    <row r="14" spans="1:7">
      <c r="A14">
        <f t="shared" si="1"/>
        <v>74</v>
      </c>
      <c r="B14">
        <v>11</v>
      </c>
      <c r="C14" s="24">
        <f ca="1">'All Income'!O13</f>
        <v>-9.9205660459346368E-4</v>
      </c>
      <c r="D14" s="22">
        <f t="shared" ca="1" si="2"/>
        <v>185657.78424625314</v>
      </c>
      <c r="E14" s="77">
        <f t="shared" si="3"/>
        <v>0.04</v>
      </c>
      <c r="F14" s="27">
        <f t="shared" ca="1" si="4"/>
        <v>618.85928082084376</v>
      </c>
      <c r="G14" s="22">
        <f t="shared" ca="1" si="0"/>
        <v>178231.47287640302</v>
      </c>
    </row>
    <row r="15" spans="1:7">
      <c r="A15">
        <f t="shared" si="1"/>
        <v>75</v>
      </c>
      <c r="B15">
        <v>12</v>
      </c>
      <c r="C15" s="24">
        <f ca="1">'All Income'!O14</f>
        <v>-1.2031279853343853E-3</v>
      </c>
      <c r="D15" s="22">
        <f t="shared" ca="1" si="2"/>
        <v>178017.03760351805</v>
      </c>
      <c r="E15" s="77">
        <f t="shared" si="3"/>
        <v>0.04</v>
      </c>
      <c r="F15" s="27">
        <f t="shared" ca="1" si="4"/>
        <v>593.39012534506026</v>
      </c>
      <c r="G15" s="22">
        <f t="shared" ca="1" si="0"/>
        <v>170896.35609937733</v>
      </c>
    </row>
    <row r="16" spans="1:7">
      <c r="A16">
        <f t="shared" si="1"/>
        <v>76</v>
      </c>
      <c r="B16">
        <v>13</v>
      </c>
      <c r="C16" s="24">
        <f ca="1">'All Income'!O15</f>
        <v>-1.4141993660753069E-3</v>
      </c>
      <c r="D16" s="22">
        <f t="shared" ca="1" si="2"/>
        <v>170654.674580917</v>
      </c>
      <c r="E16" s="77">
        <f t="shared" si="3"/>
        <v>0.04</v>
      </c>
      <c r="F16" s="27">
        <f t="shared" ca="1" si="4"/>
        <v>568.84891526972331</v>
      </c>
      <c r="G16" s="22">
        <f t="shared" ca="1" si="0"/>
        <v>163828.4875976803</v>
      </c>
    </row>
    <row r="17" spans="1:7">
      <c r="A17">
        <f t="shared" si="1"/>
        <v>77</v>
      </c>
      <c r="B17">
        <v>14</v>
      </c>
      <c r="C17" s="24">
        <f ca="1">'All Income'!O16</f>
        <v>3.0933414157689465E-2</v>
      </c>
      <c r="D17" s="22">
        <f t="shared" ca="1" si="2"/>
        <v>168896.26205536726</v>
      </c>
      <c r="E17" s="77">
        <f t="shared" si="3"/>
        <v>0.04</v>
      </c>
      <c r="F17" s="27">
        <f t="shared" ca="1" si="4"/>
        <v>562.98754018455759</v>
      </c>
      <c r="G17" s="22">
        <f t="shared" ca="1" si="0"/>
        <v>162140.41157315258</v>
      </c>
    </row>
    <row r="18" spans="1:7">
      <c r="A18">
        <f t="shared" si="1"/>
        <v>78</v>
      </c>
      <c r="B18">
        <v>15</v>
      </c>
      <c r="C18" s="24">
        <f ca="1">'All Income'!O17</f>
        <v>6.3281027681454244E-2</v>
      </c>
      <c r="D18" s="22">
        <f t="shared" ca="1" si="2"/>
        <v>172400.82344619563</v>
      </c>
      <c r="E18" s="77">
        <f t="shared" si="3"/>
        <v>0.04</v>
      </c>
      <c r="F18" s="27">
        <f t="shared" ca="1" si="4"/>
        <v>574.66941148731883</v>
      </c>
      <c r="G18" s="22">
        <f t="shared" ca="1" si="0"/>
        <v>165504.7905083478</v>
      </c>
    </row>
    <row r="19" spans="1:7">
      <c r="A19">
        <f t="shared" si="1"/>
        <v>79</v>
      </c>
      <c r="B19">
        <v>16</v>
      </c>
      <c r="C19" s="24">
        <f ca="1">'All Income'!O18</f>
        <v>9.5628641205218995E-2</v>
      </c>
      <c r="D19" s="22">
        <f t="shared" ca="1" si="2"/>
        <v>181331.78873761551</v>
      </c>
      <c r="E19" s="77">
        <f t="shared" si="3"/>
        <v>0.04</v>
      </c>
      <c r="F19" s="27">
        <f t="shared" ca="1" si="4"/>
        <v>604.43929579205167</v>
      </c>
      <c r="G19" s="22">
        <f t="shared" ca="1" si="0"/>
        <v>174078.51718811088</v>
      </c>
    </row>
    <row r="20" spans="1:7">
      <c r="A20">
        <f t="shared" si="1"/>
        <v>80</v>
      </c>
      <c r="B20">
        <v>17</v>
      </c>
      <c r="C20" s="24">
        <f ca="1">'All Income'!O19</f>
        <v>0.10079424415169644</v>
      </c>
      <c r="D20" s="22">
        <f t="shared" ca="1" si="2"/>
        <v>191624.62975113463</v>
      </c>
      <c r="E20" s="77">
        <f t="shared" si="3"/>
        <v>0.04</v>
      </c>
      <c r="F20" s="27">
        <f t="shared" ca="1" si="4"/>
        <v>638.74876583711546</v>
      </c>
      <c r="G20" s="22">
        <f t="shared" ca="1" si="0"/>
        <v>183959.64456108926</v>
      </c>
    </row>
    <row r="21" spans="1:7">
      <c r="A21">
        <f t="shared" si="1"/>
        <v>81</v>
      </c>
      <c r="B21">
        <v>18</v>
      </c>
      <c r="C21" s="24">
        <f ca="1">'All Income'!O20</f>
        <v>0.1059598470981739</v>
      </c>
      <c r="D21" s="22">
        <f t="shared" ca="1" si="2"/>
        <v>203451.98037101669</v>
      </c>
      <c r="E21" s="77">
        <f t="shared" si="3"/>
        <v>0.04</v>
      </c>
      <c r="F21" s="27">
        <f t="shared" ca="1" si="4"/>
        <v>678.17326790338905</v>
      </c>
      <c r="G21" s="22">
        <f t="shared" ca="1" si="0"/>
        <v>195313.90115617603</v>
      </c>
    </row>
    <row r="22" spans="1:7">
      <c r="A22">
        <f t="shared" si="1"/>
        <v>82</v>
      </c>
      <c r="B22">
        <v>19</v>
      </c>
      <c r="C22" s="24">
        <f ca="1">'All Income'!O21</f>
        <v>0.11112545004465134</v>
      </c>
      <c r="D22" s="22">
        <f t="shared" ca="1" si="2"/>
        <v>217018.24632213262</v>
      </c>
      <c r="E22" s="77">
        <f t="shared" si="3"/>
        <v>0.04</v>
      </c>
      <c r="F22" s="27">
        <f t="shared" ca="1" si="4"/>
        <v>723.39415440710866</v>
      </c>
      <c r="G22" s="22">
        <f t="shared" ca="1" si="0"/>
        <v>208337.51646924732</v>
      </c>
    </row>
    <row r="23" spans="1:7">
      <c r="A23">
        <f t="shared" si="1"/>
        <v>83</v>
      </c>
      <c r="B23">
        <v>20</v>
      </c>
      <c r="C23" s="24">
        <f ca="1">'All Income'!O22</f>
        <v>0.10636761054389622</v>
      </c>
      <c r="D23" s="22">
        <f t="shared" ca="1" si="2"/>
        <v>230497.88028273077</v>
      </c>
      <c r="E23" s="77">
        <f t="shared" si="3"/>
        <v>0.04</v>
      </c>
      <c r="F23" s="27">
        <f t="shared" ca="1" si="4"/>
        <v>768.32626760910262</v>
      </c>
      <c r="G23" s="22">
        <f t="shared" ca="1" si="0"/>
        <v>221277.96507142152</v>
      </c>
    </row>
    <row r="24" spans="1:7">
      <c r="A24">
        <f t="shared" si="1"/>
        <v>84</v>
      </c>
      <c r="B24">
        <v>21</v>
      </c>
      <c r="C24" s="24">
        <f ca="1">'All Income'!O23</f>
        <v>0.1016097710431411</v>
      </c>
      <c r="D24" s="22">
        <f t="shared" ca="1" si="2"/>
        <v>243761.96843922086</v>
      </c>
      <c r="E24" s="77">
        <f t="shared" si="3"/>
        <v>0.04</v>
      </c>
      <c r="F24" s="27">
        <f t="shared" ca="1" si="4"/>
        <v>812.53989479740278</v>
      </c>
      <c r="G24" s="22">
        <f t="shared" ca="1" si="0"/>
        <v>234011.48970165203</v>
      </c>
    </row>
    <row r="25" spans="1:7">
      <c r="A25">
        <f t="shared" si="1"/>
        <v>85</v>
      </c>
      <c r="B25">
        <v>22</v>
      </c>
      <c r="C25" s="24">
        <f ca="1">'All Income'!O24</f>
        <v>9.6851931542385986E-2</v>
      </c>
      <c r="D25" s="22">
        <f t="shared" ca="1" si="2"/>
        <v>256675.95448236816</v>
      </c>
      <c r="E25" s="77">
        <f t="shared" si="3"/>
        <v>0.04</v>
      </c>
      <c r="F25" s="27">
        <f t="shared" ca="1" si="4"/>
        <v>855.58651494122716</v>
      </c>
      <c r="G25" s="22">
        <f t="shared" ca="1" si="0"/>
        <v>246408.91630307343</v>
      </c>
    </row>
    <row r="26" spans="1:7">
      <c r="A26">
        <f t="shared" si="1"/>
        <v>86</v>
      </c>
      <c r="B26">
        <v>23</v>
      </c>
      <c r="C26" s="24">
        <f ca="1">'All Income'!O25</f>
        <v>7.5076690535403598E-2</v>
      </c>
      <c r="D26" s="22">
        <f t="shared" ca="1" si="2"/>
        <v>264908.48225752346</v>
      </c>
      <c r="E26" s="77">
        <f t="shared" si="3"/>
        <v>0.04</v>
      </c>
      <c r="F26" s="27">
        <f t="shared" ca="1" si="4"/>
        <v>883.02827419174491</v>
      </c>
      <c r="G26" s="22">
        <f t="shared" ca="1" si="0"/>
        <v>254312.14296722252</v>
      </c>
    </row>
    <row r="27" spans="1:7">
      <c r="A27">
        <f t="shared" si="1"/>
        <v>87</v>
      </c>
      <c r="B27">
        <v>24</v>
      </c>
      <c r="C27" s="24">
        <f ca="1">'All Income'!O26</f>
        <v>5.3301449528421203E-2</v>
      </c>
      <c r="D27" s="22">
        <f t="shared" ca="1" si="2"/>
        <v>267867.34882005455</v>
      </c>
      <c r="E27" s="77">
        <f t="shared" si="3"/>
        <v>0.04</v>
      </c>
      <c r="F27" s="27">
        <f t="shared" ca="1" si="4"/>
        <v>892.89116273351522</v>
      </c>
      <c r="G27" s="22">
        <f t="shared" ca="1" si="0"/>
        <v>257152.65486725236</v>
      </c>
    </row>
    <row r="28" spans="1:7">
      <c r="A28">
        <f t="shared" si="1"/>
        <v>88</v>
      </c>
      <c r="B28">
        <v>25</v>
      </c>
      <c r="C28" s="24">
        <f ca="1">'All Income'!O27</f>
        <v>3.1526208521438809E-2</v>
      </c>
      <c r="D28" s="22">
        <f t="shared" ca="1" si="2"/>
        <v>265259.70308643894</v>
      </c>
      <c r="E28" s="77">
        <f t="shared" si="3"/>
        <v>0.04</v>
      </c>
      <c r="F28" s="27">
        <f t="shared" ca="1" si="4"/>
        <v>884.1990102881299</v>
      </c>
      <c r="G28" s="22">
        <f t="shared" ca="1" si="0"/>
        <v>254649.31496298139</v>
      </c>
    </row>
    <row r="29" spans="1:7">
      <c r="A29">
        <f t="shared" si="1"/>
        <v>89</v>
      </c>
      <c r="B29">
        <v>26</v>
      </c>
      <c r="C29" s="24">
        <f ca="1">'All Income'!O28</f>
        <v>4.5861463322179601E-2</v>
      </c>
      <c r="D29" s="22">
        <f t="shared" ca="1" si="2"/>
        <v>266327.90518117434</v>
      </c>
      <c r="E29" s="77">
        <f t="shared" si="3"/>
        <v>0.04</v>
      </c>
      <c r="F29" s="27">
        <f t="shared" ca="1" si="4"/>
        <v>887.75968393724781</v>
      </c>
      <c r="G29" s="22">
        <f t="shared" ca="1" si="0"/>
        <v>255674.78897392738</v>
      </c>
    </row>
    <row r="30" spans="1:7">
      <c r="A30">
        <f t="shared" si="1"/>
        <v>90</v>
      </c>
      <c r="B30">
        <v>27</v>
      </c>
      <c r="C30" s="24">
        <f ca="1">'All Income'!O29</f>
        <v>6.0196718122920392E-2</v>
      </c>
      <c r="D30" s="22">
        <f t="shared" ca="1" si="2"/>
        <v>271065.57217692805</v>
      </c>
      <c r="E30" s="77">
        <f t="shared" si="3"/>
        <v>0.04</v>
      </c>
      <c r="F30" s="27">
        <f t="shared" ca="1" si="4"/>
        <v>903.55190725642694</v>
      </c>
      <c r="G30" s="22">
        <f t="shared" ca="1" si="0"/>
        <v>260222.94928985092</v>
      </c>
    </row>
    <row r="31" spans="1:7">
      <c r="A31">
        <f t="shared" si="1"/>
        <v>91</v>
      </c>
      <c r="B31">
        <v>28</v>
      </c>
      <c r="C31" s="24">
        <f ca="1">'All Income'!O30</f>
        <v>7.4531972923661191E-2</v>
      </c>
      <c r="D31" s="22">
        <f t="shared" ca="1" si="2"/>
        <v>279617.87910043733</v>
      </c>
      <c r="E31" s="77">
        <f t="shared" si="3"/>
        <v>0.04</v>
      </c>
      <c r="F31" s="27">
        <f t="shared" ca="1" si="4"/>
        <v>932.05959700145786</v>
      </c>
      <c r="G31" s="22">
        <f t="shared" ca="1" si="0"/>
        <v>268433.16393641982</v>
      </c>
    </row>
    <row r="32" spans="1:7">
      <c r="A32">
        <f t="shared" si="1"/>
        <v>92</v>
      </c>
      <c r="B32">
        <v>29</v>
      </c>
      <c r="C32" s="24">
        <f ca="1">'All Income'!O31</f>
        <v>7.8995178949295086E-2</v>
      </c>
      <c r="D32" s="22">
        <f t="shared" ca="1" si="2"/>
        <v>289638.08975750278</v>
      </c>
      <c r="E32" s="77">
        <f t="shared" si="3"/>
        <v>0.04</v>
      </c>
      <c r="F32" s="27">
        <f t="shared" ca="1" si="4"/>
        <v>965.46029919167597</v>
      </c>
      <c r="G32" s="22">
        <f t="shared" ca="1" si="0"/>
        <v>278052.56616720266</v>
      </c>
    </row>
    <row r="33" spans="1:7">
      <c r="A33">
        <f t="shared" si="1"/>
        <v>93</v>
      </c>
      <c r="B33">
        <v>30</v>
      </c>
      <c r="C33" s="24">
        <f ca="1">'All Income'!O32</f>
        <v>8.3458384974928995E-2</v>
      </c>
      <c r="D33" s="22">
        <f t="shared" ca="1" si="2"/>
        <v>301258.38427765202</v>
      </c>
      <c r="E33" s="77">
        <f t="shared" si="3"/>
        <v>0.04</v>
      </c>
      <c r="F33" s="27">
        <f t="shared" ca="1" si="4"/>
        <v>1004.19461425884</v>
      </c>
      <c r="G33" s="22">
        <f t="shared" ca="1" si="0"/>
        <v>289208.04890654591</v>
      </c>
    </row>
    <row r="34" spans="1:7">
      <c r="A34">
        <f t="shared" si="1"/>
        <v>94</v>
      </c>
      <c r="B34">
        <v>31</v>
      </c>
      <c r="C34" s="24">
        <f ca="1">'All Income'!O33</f>
        <v>8.792159100056289E-2</v>
      </c>
      <c r="D34" s="22">
        <f t="shared" ca="1" si="2"/>
        <v>314635.680696578</v>
      </c>
      <c r="E34" s="77">
        <f t="shared" si="3"/>
        <v>0.04</v>
      </c>
      <c r="F34" s="27">
        <f t="shared" ca="1" si="4"/>
        <v>1048.7856023219267</v>
      </c>
      <c r="G34" s="22">
        <f t="shared" ca="1" si="0"/>
        <v>302050.25346871489</v>
      </c>
    </row>
    <row r="35" spans="1:7">
      <c r="A35">
        <f t="shared" si="1"/>
        <v>95</v>
      </c>
      <c r="B35">
        <v>32</v>
      </c>
      <c r="C35" s="24">
        <f ca="1">'All Income'!O34</f>
        <v>5.9660035429402555E-2</v>
      </c>
      <c r="D35" s="22">
        <f t="shared" ca="1" si="2"/>
        <v>320070.58229211846</v>
      </c>
      <c r="E35" s="77">
        <f t="shared" si="3"/>
        <v>0.04</v>
      </c>
      <c r="F35" s="27">
        <f t="shared" ca="1" si="4"/>
        <v>1066.9019409737282</v>
      </c>
      <c r="G35" s="22">
        <f t="shared" ca="1" si="0"/>
        <v>307267.75900043373</v>
      </c>
    </row>
    <row r="36" spans="1:7">
      <c r="A36">
        <f t="shared" si="1"/>
        <v>96</v>
      </c>
      <c r="B36">
        <v>33</v>
      </c>
      <c r="C36" s="24">
        <f ca="1">'All Income'!O35</f>
        <v>3.1398479858242227E-2</v>
      </c>
      <c r="D36" s="22">
        <f t="shared" ca="1" si="2"/>
        <v>316915.49954249611</v>
      </c>
      <c r="E36" s="77">
        <f t="shared" si="3"/>
        <v>0.04</v>
      </c>
      <c r="F36" s="27">
        <f t="shared" ca="1" si="4"/>
        <v>1056.384998474987</v>
      </c>
      <c r="G36" s="22">
        <f t="shared" ca="1" si="0"/>
        <v>304238.87956079625</v>
      </c>
    </row>
    <row r="37" spans="1:7">
      <c r="A37">
        <f t="shared" si="1"/>
        <v>97</v>
      </c>
      <c r="B37">
        <v>34</v>
      </c>
      <c r="C37" s="24">
        <f ca="1">'All Income'!O36</f>
        <v>3.1369242870818992E-3</v>
      </c>
      <c r="D37" s="22">
        <f t="shared" ca="1" si="2"/>
        <v>305193.25389116514</v>
      </c>
      <c r="E37" s="77">
        <f t="shared" si="3"/>
        <v>0.04</v>
      </c>
      <c r="F37" s="27">
        <f t="shared" ca="1" si="4"/>
        <v>1017.3108463038839</v>
      </c>
      <c r="G37" s="22">
        <f t="shared" ca="1" si="0"/>
        <v>292985.52373551851</v>
      </c>
    </row>
    <row r="38" spans="1:7">
      <c r="A38">
        <f t="shared" si="1"/>
        <v>98</v>
      </c>
      <c r="B38">
        <v>35</v>
      </c>
      <c r="C38" s="24">
        <f ca="1">'All Income'!O37</f>
        <v>2.0912828580545995E-3</v>
      </c>
      <c r="D38" s="22">
        <f t="shared" ca="1" si="2"/>
        <v>293598.23933896475</v>
      </c>
      <c r="E38" s="77">
        <f t="shared" si="3"/>
        <v>0.04</v>
      </c>
      <c r="F38" s="27">
        <f t="shared" ca="1" si="4"/>
        <v>978.6607977965491</v>
      </c>
      <c r="G38" s="22">
        <f t="shared" ca="1" si="0"/>
        <v>281854.30976540619</v>
      </c>
    </row>
  </sheetData>
  <phoneticPr fontId="2"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dimension ref="A2:Q62"/>
  <sheetViews>
    <sheetView topLeftCell="C1" workbookViewId="0">
      <selection activeCell="G8" sqref="G8"/>
    </sheetView>
  </sheetViews>
  <sheetFormatPr defaultRowHeight="12.75"/>
  <cols>
    <col min="3" max="3" width="19.85546875" customWidth="1"/>
    <col min="4" max="4" width="11" customWidth="1"/>
    <col min="6" max="6" width="9.7109375" bestFit="1" customWidth="1"/>
    <col min="10" max="10" width="6" customWidth="1"/>
    <col min="11" max="11" width="9.7109375" bestFit="1" customWidth="1"/>
    <col min="12" max="12" width="11.5703125" customWidth="1"/>
    <col min="13" max="13" width="1.85546875" customWidth="1"/>
    <col min="14" max="14" width="9.140625" customWidth="1"/>
    <col min="15" max="15" width="6.5703125" customWidth="1"/>
    <col min="17" max="17" width="11.42578125" customWidth="1"/>
  </cols>
  <sheetData>
    <row r="2" spans="1:17" ht="51">
      <c r="C2" s="131" t="s">
        <v>252</v>
      </c>
      <c r="F2" t="s">
        <v>10</v>
      </c>
      <c r="I2" s="134" t="s">
        <v>250</v>
      </c>
      <c r="J2" s="1" t="s">
        <v>122</v>
      </c>
      <c r="K2" s="135" t="s">
        <v>251</v>
      </c>
      <c r="L2" s="134" t="s">
        <v>256</v>
      </c>
      <c r="M2" s="124"/>
      <c r="N2" s="134" t="s">
        <v>253</v>
      </c>
      <c r="O2" s="1" t="s">
        <v>122</v>
      </c>
      <c r="P2" s="135" t="s">
        <v>254</v>
      </c>
      <c r="Q2" s="134" t="s">
        <v>255</v>
      </c>
    </row>
    <row r="3" spans="1:17">
      <c r="C3" t="s">
        <v>57</v>
      </c>
      <c r="D3" t="s">
        <v>58</v>
      </c>
      <c r="I3">
        <f>'Q&amp;A'!A4</f>
        <v>64</v>
      </c>
      <c r="J3">
        <v>1</v>
      </c>
      <c r="K3" s="45">
        <f>LOOKUP($I$3,B14:B62,F14:F62)</f>
        <v>1757.3009999999997</v>
      </c>
      <c r="L3" s="126">
        <f ca="1">K3*(1+'All Income'!M3)</f>
        <v>1840.5377500233999</v>
      </c>
      <c r="N3">
        <f>I3-1</f>
        <v>63</v>
      </c>
      <c r="O3">
        <f>J3</f>
        <v>1</v>
      </c>
      <c r="P3" s="45">
        <f>LOOKUP($N$3,B14:B62,G14:G62)</f>
        <v>597.79599999999994</v>
      </c>
      <c r="Q3" s="126">
        <f ca="1">P3*(1+'All Income'!M3)</f>
        <v>626.11135190441951</v>
      </c>
    </row>
    <row r="4" spans="1:17">
      <c r="C4">
        <v>62</v>
      </c>
      <c r="D4" s="136">
        <v>1495</v>
      </c>
      <c r="I4">
        <f>I3+1</f>
        <v>65</v>
      </c>
      <c r="J4">
        <v>2</v>
      </c>
      <c r="K4" s="127">
        <f ca="1">L3</f>
        <v>1840.5377500233999</v>
      </c>
      <c r="L4" s="126">
        <f ca="1">K4*(1+'All Income'!M4)</f>
        <v>1938.4606700619727</v>
      </c>
      <c r="N4">
        <f t="shared" ref="N4:N37" si="0">I4-1</f>
        <v>64</v>
      </c>
      <c r="O4">
        <f t="shared" ref="O4:O37" si="1">J4</f>
        <v>2</v>
      </c>
      <c r="P4" s="127">
        <f ca="1">Q3</f>
        <v>626.11135190441951</v>
      </c>
      <c r="Q4" s="126">
        <f ca="1">P4*(1+'All Income'!M4)</f>
        <v>659.42262294300576</v>
      </c>
    </row>
    <row r="5" spans="1:17">
      <c r="C5">
        <v>66</v>
      </c>
      <c r="D5" s="136">
        <v>2041</v>
      </c>
      <c r="I5">
        <f t="shared" ref="I5:I37" si="2">I4+1</f>
        <v>66</v>
      </c>
      <c r="J5">
        <v>3</v>
      </c>
      <c r="K5" s="127">
        <f t="shared" ref="K5:K37" ca="1" si="3">L4</f>
        <v>1938.4606700619727</v>
      </c>
      <c r="L5" s="126">
        <f ca="1">K5*(1+'All Income'!M5)</f>
        <v>2052.9085770708384</v>
      </c>
      <c r="N5">
        <f t="shared" si="0"/>
        <v>65</v>
      </c>
      <c r="O5">
        <f t="shared" si="1"/>
        <v>3</v>
      </c>
      <c r="P5" s="127">
        <f t="shared" ref="P5:P37" ca="1" si="4">Q4</f>
        <v>659.42262294300576</v>
      </c>
      <c r="Q5" s="126">
        <f ca="1">P5*(1+'All Income'!M5)</f>
        <v>698.35533909025196</v>
      </c>
    </row>
    <row r="6" spans="1:17">
      <c r="E6">
        <v>62</v>
      </c>
      <c r="F6" s="4">
        <f>D4+D8</f>
        <v>2545</v>
      </c>
      <c r="I6">
        <f t="shared" si="2"/>
        <v>67</v>
      </c>
      <c r="J6">
        <v>4</v>
      </c>
      <c r="K6" s="127">
        <f t="shared" ca="1" si="3"/>
        <v>2052.9085770708384</v>
      </c>
      <c r="L6" s="126">
        <f ca="1">K6*(1+'All Income'!M6)</f>
        <v>2186.0967640338645</v>
      </c>
      <c r="N6">
        <f t="shared" si="0"/>
        <v>66</v>
      </c>
      <c r="O6">
        <f t="shared" si="1"/>
        <v>4</v>
      </c>
      <c r="P6" s="127">
        <f t="shared" ca="1" si="4"/>
        <v>698.35533909025196</v>
      </c>
      <c r="Q6" s="126">
        <f ca="1">P6*(1+'All Income'!M6)</f>
        <v>743.66309536749145</v>
      </c>
    </row>
    <row r="7" spans="1:17">
      <c r="C7" t="s">
        <v>248</v>
      </c>
      <c r="E7">
        <v>66</v>
      </c>
      <c r="F7" s="62">
        <f>D5+D9</f>
        <v>2792</v>
      </c>
      <c r="I7">
        <f t="shared" si="2"/>
        <v>68</v>
      </c>
      <c r="J7">
        <v>5</v>
      </c>
      <c r="K7" s="127">
        <f t="shared" ca="1" si="3"/>
        <v>2186.0967640338645</v>
      </c>
      <c r="L7" s="126">
        <f ca="1">K7*(1+'All Income'!M7)</f>
        <v>2360.269463381826</v>
      </c>
      <c r="N7">
        <f t="shared" si="0"/>
        <v>67</v>
      </c>
      <c r="O7">
        <f t="shared" si="1"/>
        <v>5</v>
      </c>
      <c r="P7" s="127">
        <f t="shared" ca="1" si="4"/>
        <v>743.66309536749145</v>
      </c>
      <c r="Q7" s="126">
        <f ca="1">P7*(1+'All Income'!M7)</f>
        <v>802.91290116593677</v>
      </c>
    </row>
    <row r="8" spans="1:17">
      <c r="C8">
        <v>62</v>
      </c>
      <c r="D8" s="136">
        <f>'Q&amp;A'!A27</f>
        <v>1050</v>
      </c>
      <c r="I8">
        <f t="shared" si="2"/>
        <v>69</v>
      </c>
      <c r="J8">
        <v>6</v>
      </c>
      <c r="K8" s="127">
        <f t="shared" ca="1" si="3"/>
        <v>2360.269463381826</v>
      </c>
      <c r="L8" s="126">
        <f ca="1">K8*(1+'All Income'!M8)</f>
        <v>2583.2394707432563</v>
      </c>
      <c r="N8">
        <f t="shared" si="0"/>
        <v>68</v>
      </c>
      <c r="O8">
        <f t="shared" si="1"/>
        <v>6</v>
      </c>
      <c r="P8" s="127">
        <f t="shared" ca="1" si="4"/>
        <v>802.91290116593677</v>
      </c>
      <c r="Q8" s="126">
        <f ca="1">P8*(1+'All Income'!M8)</f>
        <v>878.76250150226713</v>
      </c>
    </row>
    <row r="9" spans="1:17">
      <c r="C9">
        <v>66</v>
      </c>
      <c r="D9" s="136">
        <v>751</v>
      </c>
      <c r="I9">
        <f t="shared" si="2"/>
        <v>70</v>
      </c>
      <c r="J9">
        <v>7</v>
      </c>
      <c r="K9" s="127">
        <f t="shared" ca="1" si="3"/>
        <v>2583.2394707432563</v>
      </c>
      <c r="L9" s="126">
        <f ca="1">K9*(1+'All Income'!M9)</f>
        <v>2865.4923442806798</v>
      </c>
      <c r="N9">
        <f t="shared" si="0"/>
        <v>69</v>
      </c>
      <c r="O9">
        <f t="shared" si="1"/>
        <v>7</v>
      </c>
      <c r="P9" s="127">
        <f t="shared" ca="1" si="4"/>
        <v>878.76250150226713</v>
      </c>
      <c r="Q9" s="126">
        <f ca="1">P9*(1+'All Income'!M9)</f>
        <v>974.7788577151058</v>
      </c>
    </row>
    <row r="10" spans="1:17">
      <c r="I10">
        <f t="shared" si="2"/>
        <v>71</v>
      </c>
      <c r="J10">
        <v>8</v>
      </c>
      <c r="K10" s="127">
        <f t="shared" ca="1" si="3"/>
        <v>2865.4923442806798</v>
      </c>
      <c r="L10" s="126">
        <f ca="1">K10*(1+'All Income'!M10)</f>
        <v>3134.2073624894174</v>
      </c>
      <c r="N10">
        <f t="shared" si="0"/>
        <v>70</v>
      </c>
      <c r="O10">
        <f t="shared" si="1"/>
        <v>8</v>
      </c>
      <c r="P10" s="127">
        <f t="shared" ca="1" si="4"/>
        <v>974.7788577151058</v>
      </c>
      <c r="Q10" s="126">
        <f ca="1">P10*(1+'All Income'!M10)</f>
        <v>1066.1899267494432</v>
      </c>
    </row>
    <row r="11" spans="1:17">
      <c r="C11" t="s">
        <v>59</v>
      </c>
      <c r="I11">
        <f t="shared" si="2"/>
        <v>72</v>
      </c>
      <c r="J11">
        <v>9</v>
      </c>
      <c r="K11" s="127">
        <f t="shared" ca="1" si="3"/>
        <v>3134.2073624894174</v>
      </c>
      <c r="L11" s="126">
        <f ca="1">K11*(1+'All Income'!M11)</f>
        <v>3379.5821928775827</v>
      </c>
      <c r="N11">
        <f t="shared" si="0"/>
        <v>71</v>
      </c>
      <c r="O11">
        <f t="shared" si="1"/>
        <v>9</v>
      </c>
      <c r="P11" s="127">
        <f t="shared" ca="1" si="4"/>
        <v>1066.1899267494432</v>
      </c>
      <c r="Q11" s="126">
        <f ca="1">P11*(1+'All Income'!M11)</f>
        <v>1149.6611659433681</v>
      </c>
    </row>
    <row r="12" spans="1:17">
      <c r="I12">
        <f t="shared" si="2"/>
        <v>73</v>
      </c>
      <c r="J12">
        <v>10</v>
      </c>
      <c r="K12" s="127">
        <f t="shared" ca="1" si="3"/>
        <v>3379.5821928775827</v>
      </c>
      <c r="L12" s="126">
        <f ca="1">K12*(1+'All Income'!M12)</f>
        <v>3591.8278731450323</v>
      </c>
      <c r="N12">
        <f t="shared" si="0"/>
        <v>72</v>
      </c>
      <c r="O12">
        <f t="shared" si="1"/>
        <v>10</v>
      </c>
      <c r="P12" s="127">
        <f t="shared" ca="1" si="4"/>
        <v>1149.6611659433681</v>
      </c>
      <c r="Q12" s="126">
        <f ca="1">P12*(1+'All Income'!M12)</f>
        <v>1221.8625808866022</v>
      </c>
    </row>
    <row r="13" spans="1:17">
      <c r="A13" t="s">
        <v>222</v>
      </c>
      <c r="C13" s="5" t="s">
        <v>168</v>
      </c>
      <c r="D13" s="5" t="s">
        <v>104</v>
      </c>
      <c r="F13" s="131" t="s">
        <v>270</v>
      </c>
      <c r="G13" s="131" t="s">
        <v>271</v>
      </c>
      <c r="I13">
        <f t="shared" si="2"/>
        <v>74</v>
      </c>
      <c r="J13">
        <v>11</v>
      </c>
      <c r="K13" s="127">
        <f t="shared" ca="1" si="3"/>
        <v>3591.8278731450323</v>
      </c>
      <c r="L13" s="126">
        <f ca="1">K13*(1+'All Income'!M13)</f>
        <v>3823.9037316559466</v>
      </c>
      <c r="N13">
        <f t="shared" si="0"/>
        <v>73</v>
      </c>
      <c r="O13">
        <f t="shared" si="1"/>
        <v>11</v>
      </c>
      <c r="P13" s="127">
        <f t="shared" ca="1" si="4"/>
        <v>1221.8625808866022</v>
      </c>
      <c r="Q13" s="126">
        <f ca="1">P13*(1+'All Income'!M13)</f>
        <v>1300.8097959137322</v>
      </c>
    </row>
    <row r="14" spans="1:17">
      <c r="A14" s="110">
        <v>38921</v>
      </c>
      <c r="B14" s="133">
        <v>62</v>
      </c>
      <c r="C14" s="6">
        <v>62</v>
      </c>
      <c r="D14" s="7" t="s">
        <v>105</v>
      </c>
      <c r="E14" s="7" t="s">
        <v>106</v>
      </c>
      <c r="I14">
        <f t="shared" si="2"/>
        <v>75</v>
      </c>
      <c r="J14">
        <v>12</v>
      </c>
      <c r="K14" s="127">
        <f t="shared" ca="1" si="3"/>
        <v>3823.9037316559466</v>
      </c>
      <c r="L14" s="126">
        <f ca="1">K14*(1+'All Income'!M14)</f>
        <v>4077.8951927963976</v>
      </c>
      <c r="N14">
        <f t="shared" si="0"/>
        <v>74</v>
      </c>
      <c r="O14">
        <f t="shared" si="1"/>
        <v>12</v>
      </c>
      <c r="P14" s="127">
        <f t="shared" ca="1" si="4"/>
        <v>1300.8097959137322</v>
      </c>
      <c r="Q14" s="126">
        <f ca="1">P14*(1+'All Income'!M14)</f>
        <v>1387.2122275426432</v>
      </c>
    </row>
    <row r="15" spans="1:17">
      <c r="A15" s="110">
        <v>38952</v>
      </c>
      <c r="B15" s="133">
        <f>B14+1/12</f>
        <v>62.083333333333336</v>
      </c>
      <c r="C15" s="6" t="s">
        <v>60</v>
      </c>
      <c r="D15" s="7">
        <v>75.400000000000006</v>
      </c>
      <c r="E15" s="7">
        <v>35.200000000000003</v>
      </c>
      <c r="F15" s="108">
        <f t="shared" ref="F15:F25" si="5">D15*$D$5/100</f>
        <v>1538.9140000000002</v>
      </c>
      <c r="G15" s="109">
        <f>D15*$D$9/100</f>
        <v>566.25400000000002</v>
      </c>
      <c r="H15" s="109"/>
      <c r="I15">
        <f t="shared" si="2"/>
        <v>76</v>
      </c>
      <c r="J15">
        <v>13</v>
      </c>
      <c r="K15" s="127">
        <f t="shared" ca="1" si="3"/>
        <v>4077.8951927963976</v>
      </c>
      <c r="L15" s="126">
        <f ca="1">K15*(1+'All Income'!M15)</f>
        <v>4356.1376420308816</v>
      </c>
      <c r="N15">
        <f t="shared" si="0"/>
        <v>75</v>
      </c>
      <c r="O15">
        <f t="shared" si="1"/>
        <v>13</v>
      </c>
      <c r="P15" s="127">
        <f t="shared" ca="1" si="4"/>
        <v>1387.2122275426432</v>
      </c>
      <c r="Q15" s="126">
        <f ca="1">P15*(1+'All Income'!M15)</f>
        <v>1481.8643236733444</v>
      </c>
    </row>
    <row r="16" spans="1:17">
      <c r="A16" s="110">
        <v>38983</v>
      </c>
      <c r="B16" s="133">
        <f t="shared" ref="B16:B62" si="6">B15+1/12</f>
        <v>62.166666666666671</v>
      </c>
      <c r="C16" s="6" t="s">
        <v>61</v>
      </c>
      <c r="D16" s="7">
        <v>75.8</v>
      </c>
      <c r="E16" s="7">
        <v>35.4</v>
      </c>
      <c r="F16" s="108">
        <f t="shared" si="5"/>
        <v>1547.078</v>
      </c>
      <c r="G16" s="4">
        <f t="shared" ref="G16:G62" si="7">D16*$D$9/100</f>
        <v>569.25799999999992</v>
      </c>
      <c r="H16" s="4"/>
      <c r="I16">
        <f t="shared" si="2"/>
        <v>77</v>
      </c>
      <c r="J16">
        <v>14</v>
      </c>
      <c r="K16" s="127">
        <f t="shared" ca="1" si="3"/>
        <v>4356.1376420308816</v>
      </c>
      <c r="L16" s="126">
        <f ca="1">K16*(1+'All Income'!M16)</f>
        <v>4625.6324707265348</v>
      </c>
      <c r="N16">
        <f t="shared" si="0"/>
        <v>76</v>
      </c>
      <c r="O16">
        <f t="shared" si="1"/>
        <v>14</v>
      </c>
      <c r="P16" s="127">
        <f t="shared" ca="1" si="4"/>
        <v>1481.8643236733444</v>
      </c>
      <c r="Q16" s="126">
        <f ca="1">P16*(1+'All Income'!M16)</f>
        <v>1573.5406674613164</v>
      </c>
    </row>
    <row r="17" spans="1:17">
      <c r="A17" s="110">
        <v>39013</v>
      </c>
      <c r="B17" s="133">
        <f t="shared" si="6"/>
        <v>62.250000000000007</v>
      </c>
      <c r="C17" s="6" t="s">
        <v>62</v>
      </c>
      <c r="D17" s="7">
        <v>76.3</v>
      </c>
      <c r="E17" s="7">
        <v>35.6</v>
      </c>
      <c r="F17" s="108">
        <f t="shared" si="5"/>
        <v>1557.2829999999999</v>
      </c>
      <c r="G17" s="4">
        <f t="shared" si="7"/>
        <v>573.01299999999992</v>
      </c>
      <c r="H17" s="4"/>
      <c r="I17">
        <f t="shared" si="2"/>
        <v>78</v>
      </c>
      <c r="J17">
        <v>15</v>
      </c>
      <c r="K17" s="127">
        <f t="shared" ca="1" si="3"/>
        <v>4625.6324707265348</v>
      </c>
      <c r="L17" s="126">
        <f ca="1">K17*(1+'All Income'!M17)</f>
        <v>4882.3514243253385</v>
      </c>
      <c r="N17">
        <f t="shared" si="0"/>
        <v>77</v>
      </c>
      <c r="O17">
        <f t="shared" si="1"/>
        <v>15</v>
      </c>
      <c r="P17" s="127">
        <f t="shared" ca="1" si="4"/>
        <v>1573.5406674613164</v>
      </c>
      <c r="Q17" s="126">
        <f ca="1">P17*(1+'All Income'!M17)</f>
        <v>1660.870933355179</v>
      </c>
    </row>
    <row r="18" spans="1:17">
      <c r="A18" s="110">
        <v>39044</v>
      </c>
      <c r="B18" s="133">
        <f t="shared" si="6"/>
        <v>62.333333333333343</v>
      </c>
      <c r="C18" s="6" t="s">
        <v>63</v>
      </c>
      <c r="D18" s="7">
        <v>76.7</v>
      </c>
      <c r="E18" s="7">
        <v>35.799999999999997</v>
      </c>
      <c r="F18" s="108">
        <f t="shared" si="5"/>
        <v>1565.4470000000001</v>
      </c>
      <c r="G18" s="4">
        <f t="shared" si="7"/>
        <v>576.01700000000005</v>
      </c>
      <c r="H18" s="4"/>
      <c r="I18">
        <f t="shared" si="2"/>
        <v>79</v>
      </c>
      <c r="J18">
        <v>16</v>
      </c>
      <c r="K18" s="127">
        <f t="shared" ca="1" si="3"/>
        <v>4882.3514243253385</v>
      </c>
      <c r="L18" s="126">
        <f ca="1">K18*(1+'All Income'!M18)</f>
        <v>5122.2353993432444</v>
      </c>
      <c r="N18">
        <f t="shared" si="0"/>
        <v>78</v>
      </c>
      <c r="O18">
        <f t="shared" si="1"/>
        <v>16</v>
      </c>
      <c r="P18" s="127">
        <f t="shared" ca="1" si="4"/>
        <v>1660.870933355179</v>
      </c>
      <c r="Q18" s="126">
        <f ca="1">P18*(1+'All Income'!M18)</f>
        <v>1742.4743016624886</v>
      </c>
    </row>
    <row r="19" spans="1:17">
      <c r="A19" s="110">
        <v>39074</v>
      </c>
      <c r="B19" s="133">
        <f t="shared" si="6"/>
        <v>62.416666666666679</v>
      </c>
      <c r="C19" s="6" t="s">
        <v>64</v>
      </c>
      <c r="D19" s="7">
        <v>77.099999999999994</v>
      </c>
      <c r="E19" s="7">
        <v>36</v>
      </c>
      <c r="F19" s="108">
        <f t="shared" si="5"/>
        <v>1573.6109999999999</v>
      </c>
      <c r="G19" s="4">
        <f t="shared" si="7"/>
        <v>579.02099999999996</v>
      </c>
      <c r="H19" s="4"/>
      <c r="I19">
        <f t="shared" si="2"/>
        <v>80</v>
      </c>
      <c r="J19">
        <v>17</v>
      </c>
      <c r="K19" s="127">
        <f t="shared" ca="1" si="3"/>
        <v>5122.2353993432444</v>
      </c>
      <c r="L19" s="126">
        <f ca="1">K19*(1+'All Income'!M19)</f>
        <v>5431.9738597791284</v>
      </c>
      <c r="N19">
        <f t="shared" si="0"/>
        <v>79</v>
      </c>
      <c r="O19">
        <f t="shared" si="1"/>
        <v>17</v>
      </c>
      <c r="P19" s="127">
        <f t="shared" ca="1" si="4"/>
        <v>1742.4743016624886</v>
      </c>
      <c r="Q19" s="126">
        <f ca="1">P19*(1+'All Income'!M19)</f>
        <v>1847.8406633129568</v>
      </c>
    </row>
    <row r="20" spans="1:17">
      <c r="A20" s="110">
        <v>39105</v>
      </c>
      <c r="B20" s="133">
        <f t="shared" si="6"/>
        <v>62.500000000000014</v>
      </c>
      <c r="C20" s="6" t="s">
        <v>65</v>
      </c>
      <c r="D20" s="7">
        <v>77.5</v>
      </c>
      <c r="E20" s="7">
        <v>36.299999999999997</v>
      </c>
      <c r="F20" s="108">
        <f t="shared" si="5"/>
        <v>1581.7750000000001</v>
      </c>
      <c r="G20" s="4">
        <f t="shared" si="7"/>
        <v>582.02499999999998</v>
      </c>
      <c r="H20" s="4"/>
      <c r="I20">
        <f t="shared" si="2"/>
        <v>81</v>
      </c>
      <c r="J20">
        <v>18</v>
      </c>
      <c r="K20" s="127">
        <f t="shared" ca="1" si="3"/>
        <v>5431.9738597791284</v>
      </c>
      <c r="L20" s="126">
        <f ca="1">K20*(1+'All Income'!M20)</f>
        <v>5822.0216665580065</v>
      </c>
      <c r="N20">
        <f t="shared" si="0"/>
        <v>80</v>
      </c>
      <c r="O20">
        <f t="shared" si="1"/>
        <v>18</v>
      </c>
      <c r="P20" s="127">
        <f t="shared" ca="1" si="4"/>
        <v>1847.8406633129568</v>
      </c>
      <c r="Q20" s="126">
        <f ca="1">P20*(1+'All Income'!M20)</f>
        <v>1980.5265371053158</v>
      </c>
    </row>
    <row r="21" spans="1:17">
      <c r="A21" s="110">
        <v>39136</v>
      </c>
      <c r="B21" s="133">
        <f t="shared" si="6"/>
        <v>62.58333333333335</v>
      </c>
      <c r="C21" s="6" t="s">
        <v>66</v>
      </c>
      <c r="D21" s="7">
        <v>77.900000000000006</v>
      </c>
      <c r="E21" s="7">
        <v>36.5</v>
      </c>
      <c r="F21" s="108">
        <f t="shared" si="5"/>
        <v>1589.9390000000003</v>
      </c>
      <c r="G21" s="4">
        <f t="shared" si="7"/>
        <v>585.029</v>
      </c>
      <c r="H21" s="4"/>
      <c r="I21">
        <f t="shared" si="2"/>
        <v>82</v>
      </c>
      <c r="J21">
        <v>19</v>
      </c>
      <c r="K21" s="127">
        <f t="shared" ca="1" si="3"/>
        <v>5822.0216665580065</v>
      </c>
      <c r="L21" s="126">
        <f ca="1">K21*(1+'All Income'!M21)</f>
        <v>6306.0786421941611</v>
      </c>
      <c r="N21">
        <f t="shared" si="0"/>
        <v>81</v>
      </c>
      <c r="O21">
        <f t="shared" si="1"/>
        <v>19</v>
      </c>
      <c r="P21" s="127">
        <f t="shared" ca="1" si="4"/>
        <v>1980.5265371053158</v>
      </c>
      <c r="Q21" s="126">
        <f ca="1">P21*(1+'All Income'!M21)</f>
        <v>2145.1923079706316</v>
      </c>
    </row>
    <row r="22" spans="1:17">
      <c r="A22" s="110">
        <v>39164</v>
      </c>
      <c r="B22" s="133">
        <f t="shared" si="6"/>
        <v>62.666666666666686</v>
      </c>
      <c r="C22" s="6" t="s">
        <v>67</v>
      </c>
      <c r="D22" s="7">
        <v>78.3</v>
      </c>
      <c r="E22" s="7">
        <v>36.700000000000003</v>
      </c>
      <c r="F22" s="108">
        <f t="shared" si="5"/>
        <v>1598.1029999999998</v>
      </c>
      <c r="G22" s="4">
        <f t="shared" si="7"/>
        <v>588.0329999999999</v>
      </c>
      <c r="H22" s="4"/>
      <c r="I22">
        <f t="shared" si="2"/>
        <v>83</v>
      </c>
      <c r="J22">
        <v>20</v>
      </c>
      <c r="K22" s="127">
        <f t="shared" ca="1" si="3"/>
        <v>6306.0786421941611</v>
      </c>
      <c r="L22" s="126">
        <f ca="1">K22*(1+'All Income'!M22)</f>
        <v>6808.1391359739737</v>
      </c>
      <c r="N22">
        <f t="shared" si="0"/>
        <v>82</v>
      </c>
      <c r="O22">
        <f t="shared" si="1"/>
        <v>20</v>
      </c>
      <c r="P22" s="127">
        <f t="shared" ca="1" si="4"/>
        <v>2145.1923079706316</v>
      </c>
      <c r="Q22" s="126">
        <f ca="1">P22*(1+'All Income'!M22)</f>
        <v>2315.982488446029</v>
      </c>
    </row>
    <row r="23" spans="1:17">
      <c r="A23" s="110">
        <v>39195</v>
      </c>
      <c r="B23" s="133">
        <f t="shared" si="6"/>
        <v>62.750000000000021</v>
      </c>
      <c r="C23" s="6" t="s">
        <v>68</v>
      </c>
      <c r="D23" s="7">
        <v>78.8</v>
      </c>
      <c r="E23" s="7">
        <v>36.9</v>
      </c>
      <c r="F23" s="108">
        <f t="shared" si="5"/>
        <v>1608.308</v>
      </c>
      <c r="G23" s="4">
        <f t="shared" si="7"/>
        <v>591.78800000000001</v>
      </c>
      <c r="H23" s="4"/>
      <c r="I23">
        <f t="shared" si="2"/>
        <v>84</v>
      </c>
      <c r="J23">
        <v>21</v>
      </c>
      <c r="K23" s="127">
        <f t="shared" ca="1" si="3"/>
        <v>6808.1391359739737</v>
      </c>
      <c r="L23" s="126">
        <f ca="1">K23*(1+'All Income'!M23)</f>
        <v>7326.1583719234586</v>
      </c>
      <c r="N23">
        <f t="shared" si="0"/>
        <v>83</v>
      </c>
      <c r="O23">
        <f t="shared" si="1"/>
        <v>21</v>
      </c>
      <c r="P23" s="127">
        <f t="shared" ca="1" si="4"/>
        <v>2315.982488446029</v>
      </c>
      <c r="Q23" s="126">
        <f ca="1">P23*(1+'All Income'!M23)</f>
        <v>2492.2014897290524</v>
      </c>
    </row>
    <row r="24" spans="1:17">
      <c r="A24" s="110">
        <v>39225</v>
      </c>
      <c r="B24" s="133">
        <f t="shared" si="6"/>
        <v>62.833333333333357</v>
      </c>
      <c r="C24" s="6" t="s">
        <v>69</v>
      </c>
      <c r="D24" s="7">
        <v>79.2</v>
      </c>
      <c r="E24" s="7">
        <v>37.1</v>
      </c>
      <c r="F24" s="108">
        <f t="shared" si="5"/>
        <v>1616.4720000000002</v>
      </c>
      <c r="G24" s="4">
        <f t="shared" si="7"/>
        <v>594.79200000000003</v>
      </c>
      <c r="H24" s="4"/>
      <c r="I24">
        <f t="shared" si="2"/>
        <v>85</v>
      </c>
      <c r="J24">
        <v>22</v>
      </c>
      <c r="K24" s="127">
        <f t="shared" ca="1" si="3"/>
        <v>7326.1583719234586</v>
      </c>
      <c r="L24" s="126">
        <f ca="1">K24*(1+'All Income'!M24)</f>
        <v>7857.7527023523189</v>
      </c>
      <c r="N24">
        <f t="shared" si="0"/>
        <v>84</v>
      </c>
      <c r="O24">
        <f t="shared" si="1"/>
        <v>22</v>
      </c>
      <c r="P24" s="127">
        <f t="shared" ca="1" si="4"/>
        <v>2492.2014897290524</v>
      </c>
      <c r="Q24" s="126">
        <f ca="1">P24*(1+'All Income'!M24)</f>
        <v>2673.0384461486133</v>
      </c>
    </row>
    <row r="25" spans="1:17">
      <c r="A25" s="110">
        <v>39256</v>
      </c>
      <c r="B25" s="133">
        <f t="shared" si="6"/>
        <v>62.916666666666693</v>
      </c>
      <c r="C25" s="6" t="s">
        <v>70</v>
      </c>
      <c r="D25" s="7">
        <v>79.599999999999994</v>
      </c>
      <c r="E25" s="7">
        <v>37.299999999999997</v>
      </c>
      <c r="F25" s="108">
        <f t="shared" si="5"/>
        <v>1624.6359999999997</v>
      </c>
      <c r="G25" s="4">
        <f t="shared" si="7"/>
        <v>597.79599999999994</v>
      </c>
      <c r="H25" s="4"/>
      <c r="I25">
        <f t="shared" si="2"/>
        <v>86</v>
      </c>
      <c r="J25">
        <v>23</v>
      </c>
      <c r="K25" s="127">
        <f t="shared" ca="1" si="3"/>
        <v>7857.7527023523189</v>
      </c>
      <c r="L25" s="126">
        <f ca="1">K25*(1+'All Income'!M25)</f>
        <v>8340.1595907956416</v>
      </c>
      <c r="N25">
        <f t="shared" si="0"/>
        <v>85</v>
      </c>
      <c r="O25">
        <f t="shared" si="1"/>
        <v>23</v>
      </c>
      <c r="P25" s="127">
        <f t="shared" ca="1" si="4"/>
        <v>2673.0384461486133</v>
      </c>
      <c r="Q25" s="126">
        <f ca="1">P25*(1+'All Income'!M25)</f>
        <v>2837.1428928449191</v>
      </c>
    </row>
    <row r="26" spans="1:17">
      <c r="A26" s="110">
        <v>39286</v>
      </c>
      <c r="B26" s="133">
        <f t="shared" si="6"/>
        <v>63.000000000000028</v>
      </c>
      <c r="C26" s="6">
        <v>63</v>
      </c>
      <c r="D26" s="7">
        <v>80</v>
      </c>
      <c r="E26" s="7">
        <v>37.5</v>
      </c>
      <c r="F26" s="108">
        <f>D26*$D$5/100</f>
        <v>1632.8</v>
      </c>
      <c r="G26" s="4">
        <f t="shared" si="7"/>
        <v>600.79999999999995</v>
      </c>
      <c r="H26" s="4"/>
      <c r="I26">
        <f t="shared" si="2"/>
        <v>87</v>
      </c>
      <c r="J26">
        <v>24</v>
      </c>
      <c r="K26" s="127">
        <f t="shared" ca="1" si="3"/>
        <v>8340.1595907956416</v>
      </c>
      <c r="L26" s="126">
        <f ca="1">K26*(1+'All Income'!M26)</f>
        <v>8759.0342688708861</v>
      </c>
      <c r="N26">
        <f t="shared" si="0"/>
        <v>86</v>
      </c>
      <c r="O26">
        <f t="shared" si="1"/>
        <v>24</v>
      </c>
      <c r="P26" s="127">
        <f t="shared" ca="1" si="4"/>
        <v>2837.1428928449191</v>
      </c>
      <c r="Q26" s="126">
        <f ca="1">P26*(1+'All Income'!M26)</f>
        <v>2979.6350481755471</v>
      </c>
    </row>
    <row r="27" spans="1:17">
      <c r="A27" s="110">
        <v>39317</v>
      </c>
      <c r="B27" s="133">
        <f t="shared" si="6"/>
        <v>63.083333333333364</v>
      </c>
      <c r="C27" s="6" t="s">
        <v>71</v>
      </c>
      <c r="D27" s="7">
        <v>80.599999999999994</v>
      </c>
      <c r="E27" s="7">
        <v>37.799999999999997</v>
      </c>
      <c r="F27" s="4">
        <f t="shared" ref="F27:F62" si="8">D27*$D$5/100</f>
        <v>1645.0459999999998</v>
      </c>
      <c r="G27" s="4">
        <f t="shared" si="7"/>
        <v>605.30600000000004</v>
      </c>
      <c r="H27" s="4"/>
      <c r="I27">
        <f t="shared" si="2"/>
        <v>88</v>
      </c>
      <c r="J27">
        <v>25</v>
      </c>
      <c r="K27" s="127">
        <f t="shared" ca="1" si="3"/>
        <v>8759.0342688708861</v>
      </c>
      <c r="L27" s="126">
        <f ca="1">K27*(1+'All Income'!M27)</f>
        <v>9101.1198035676134</v>
      </c>
      <c r="N27">
        <f t="shared" si="0"/>
        <v>87</v>
      </c>
      <c r="O27">
        <f t="shared" si="1"/>
        <v>25</v>
      </c>
      <c r="P27" s="127">
        <f t="shared" ca="1" si="4"/>
        <v>2979.6350481755471</v>
      </c>
      <c r="Q27" s="126">
        <f ca="1">P27*(1+'All Income'!M27)</f>
        <v>3096.0051886919214</v>
      </c>
    </row>
    <row r="28" spans="1:17">
      <c r="A28" s="110">
        <v>39348</v>
      </c>
      <c r="B28" s="133">
        <f t="shared" si="6"/>
        <v>63.1666666666667</v>
      </c>
      <c r="C28" s="6" t="s">
        <v>72</v>
      </c>
      <c r="D28" s="7">
        <v>81.099999999999994</v>
      </c>
      <c r="E28" s="7">
        <v>38.200000000000003</v>
      </c>
      <c r="F28" s="4">
        <f t="shared" si="8"/>
        <v>1655.2509999999997</v>
      </c>
      <c r="G28" s="4">
        <f t="shared" si="7"/>
        <v>609.06100000000004</v>
      </c>
      <c r="H28" s="4"/>
      <c r="I28">
        <f t="shared" si="2"/>
        <v>89</v>
      </c>
      <c r="J28">
        <v>26</v>
      </c>
      <c r="K28" s="127">
        <f t="shared" ca="1" si="3"/>
        <v>9101.1198035676134</v>
      </c>
      <c r="L28" s="126">
        <f ca="1">K28*(1+'All Income'!M28)</f>
        <v>9474.2859588243882</v>
      </c>
      <c r="N28">
        <f t="shared" si="0"/>
        <v>88</v>
      </c>
      <c r="O28">
        <f t="shared" si="1"/>
        <v>26</v>
      </c>
      <c r="P28" s="127">
        <f t="shared" ca="1" si="4"/>
        <v>3096.0051886919214</v>
      </c>
      <c r="Q28" s="126">
        <f ca="1">P28*(1+'All Income'!M28)</f>
        <v>3222.9482877670816</v>
      </c>
    </row>
    <row r="29" spans="1:17">
      <c r="A29" s="110">
        <v>39378</v>
      </c>
      <c r="B29" s="133">
        <f t="shared" si="6"/>
        <v>63.250000000000036</v>
      </c>
      <c r="C29" s="6" t="s">
        <v>73</v>
      </c>
      <c r="D29" s="7">
        <v>81.7</v>
      </c>
      <c r="E29" s="7">
        <v>38.5</v>
      </c>
      <c r="F29" s="4">
        <f t="shared" si="8"/>
        <v>1667.4970000000001</v>
      </c>
      <c r="G29" s="4">
        <f t="shared" si="7"/>
        <v>613.56700000000001</v>
      </c>
      <c r="H29" s="4"/>
      <c r="I29">
        <f t="shared" si="2"/>
        <v>90</v>
      </c>
      <c r="J29">
        <v>27</v>
      </c>
      <c r="K29" s="127">
        <f t="shared" ca="1" si="3"/>
        <v>9474.2859588243882</v>
      </c>
      <c r="L29" s="126">
        <f ca="1">K29*(1+'All Income'!M29)</f>
        <v>9881.1997461491937</v>
      </c>
      <c r="N29">
        <f t="shared" si="0"/>
        <v>89</v>
      </c>
      <c r="O29">
        <f t="shared" si="1"/>
        <v>27</v>
      </c>
      <c r="P29" s="127">
        <f t="shared" ca="1" si="4"/>
        <v>3222.9482877670816</v>
      </c>
      <c r="Q29" s="126">
        <f ca="1">P29*(1+'All Income'!M29)</f>
        <v>3361.3716053476323</v>
      </c>
    </row>
    <row r="30" spans="1:17">
      <c r="A30" s="110">
        <v>39409</v>
      </c>
      <c r="B30" s="133">
        <f t="shared" si="6"/>
        <v>63.333333333333371</v>
      </c>
      <c r="C30" s="6" t="s">
        <v>74</v>
      </c>
      <c r="D30" s="7">
        <v>82.2</v>
      </c>
      <c r="E30" s="7">
        <v>38.9</v>
      </c>
      <c r="F30" s="4">
        <f t="shared" si="8"/>
        <v>1677.7020000000002</v>
      </c>
      <c r="G30" s="4">
        <f t="shared" si="7"/>
        <v>617.322</v>
      </c>
      <c r="H30" s="4"/>
      <c r="I30">
        <f t="shared" si="2"/>
        <v>91</v>
      </c>
      <c r="J30">
        <v>28</v>
      </c>
      <c r="K30" s="127">
        <f t="shared" ca="1" si="3"/>
        <v>9881.1997461491937</v>
      </c>
      <c r="L30" s="126">
        <f ca="1">K30*(1+'All Income'!M30)</f>
        <v>10324.829463475195</v>
      </c>
      <c r="N30">
        <f t="shared" si="0"/>
        <v>90</v>
      </c>
      <c r="O30">
        <f t="shared" si="1"/>
        <v>28</v>
      </c>
      <c r="P30" s="127">
        <f t="shared" ca="1" si="4"/>
        <v>3361.3716053476323</v>
      </c>
      <c r="Q30" s="126">
        <f ca="1">P30*(1+'All Income'!M30)</f>
        <v>3512.28489254124</v>
      </c>
    </row>
    <row r="31" spans="1:17">
      <c r="A31" s="110">
        <v>39439</v>
      </c>
      <c r="B31" s="133">
        <f t="shared" si="6"/>
        <v>63.416666666666707</v>
      </c>
      <c r="C31" s="6" t="s">
        <v>75</v>
      </c>
      <c r="D31" s="7">
        <v>82.8</v>
      </c>
      <c r="E31" s="7">
        <v>39.200000000000003</v>
      </c>
      <c r="F31" s="4">
        <f t="shared" si="8"/>
        <v>1689.9479999999999</v>
      </c>
      <c r="G31" s="4">
        <f t="shared" si="7"/>
        <v>621.82799999999997</v>
      </c>
      <c r="H31" s="4"/>
      <c r="I31">
        <f t="shared" si="2"/>
        <v>92</v>
      </c>
      <c r="J31">
        <v>29</v>
      </c>
      <c r="K31" s="127">
        <f t="shared" ca="1" si="3"/>
        <v>10324.829463475195</v>
      </c>
      <c r="L31" s="126">
        <f ca="1">K31*(1+'All Income'!M31)</f>
        <v>10733.341658246636</v>
      </c>
      <c r="N31">
        <f t="shared" si="0"/>
        <v>91</v>
      </c>
      <c r="O31">
        <f t="shared" si="1"/>
        <v>29</v>
      </c>
      <c r="P31" s="127">
        <f t="shared" ca="1" si="4"/>
        <v>3512.28489254124</v>
      </c>
      <c r="Q31" s="126">
        <f ca="1">P31*(1+'All Income'!M31)</f>
        <v>3651.2519539527957</v>
      </c>
    </row>
    <row r="32" spans="1:17">
      <c r="A32" s="110">
        <v>39470</v>
      </c>
      <c r="B32" s="133">
        <f t="shared" si="6"/>
        <v>63.500000000000043</v>
      </c>
      <c r="C32" s="6" t="s">
        <v>76</v>
      </c>
      <c r="D32" s="7">
        <v>83.3</v>
      </c>
      <c r="E32" s="7">
        <v>39.6</v>
      </c>
      <c r="F32" s="4">
        <f t="shared" si="8"/>
        <v>1700.1529999999998</v>
      </c>
      <c r="G32" s="4">
        <f t="shared" si="7"/>
        <v>625.58299999999997</v>
      </c>
      <c r="H32" s="4"/>
      <c r="I32">
        <f t="shared" si="2"/>
        <v>93</v>
      </c>
      <c r="J32">
        <v>30</v>
      </c>
      <c r="K32" s="127">
        <f t="shared" ca="1" si="3"/>
        <v>10733.341658246636</v>
      </c>
      <c r="L32" s="126">
        <f ca="1">K32*(1+'All Income'!M32)</f>
        <v>11100.804662630704</v>
      </c>
      <c r="N32">
        <f t="shared" si="0"/>
        <v>92</v>
      </c>
      <c r="O32">
        <f t="shared" si="1"/>
        <v>30</v>
      </c>
      <c r="P32" s="127">
        <f t="shared" ca="1" si="4"/>
        <v>3651.2519539527957</v>
      </c>
      <c r="Q32" s="126">
        <f ca="1">P32*(1+'All Income'!M32)</f>
        <v>3776.2549637779643</v>
      </c>
    </row>
    <row r="33" spans="1:17">
      <c r="A33" s="110">
        <v>39501</v>
      </c>
      <c r="B33" s="133">
        <f t="shared" si="6"/>
        <v>63.583333333333378</v>
      </c>
      <c r="C33" s="6" t="s">
        <v>77</v>
      </c>
      <c r="D33" s="7">
        <v>83.9</v>
      </c>
      <c r="E33" s="7">
        <v>39.9</v>
      </c>
      <c r="F33" s="4">
        <f t="shared" si="8"/>
        <v>1712.3990000000003</v>
      </c>
      <c r="G33" s="4">
        <f t="shared" si="7"/>
        <v>630.08900000000006</v>
      </c>
      <c r="H33" s="4"/>
      <c r="I33">
        <f t="shared" si="2"/>
        <v>94</v>
      </c>
      <c r="J33">
        <v>31</v>
      </c>
      <c r="K33" s="127">
        <f t="shared" ca="1" si="3"/>
        <v>11100.804662630704</v>
      </c>
      <c r="L33" s="126">
        <f ca="1">K33*(1+'All Income'!M33)</f>
        <v>11421.676917301131</v>
      </c>
      <c r="N33">
        <f t="shared" si="0"/>
        <v>93</v>
      </c>
      <c r="O33">
        <f t="shared" si="1"/>
        <v>31</v>
      </c>
      <c r="P33" s="127">
        <f t="shared" ca="1" si="4"/>
        <v>3776.2549637779643</v>
      </c>
      <c r="Q33" s="126">
        <f ca="1">P33*(1+'All Income'!M33)</f>
        <v>3885.4088027349571</v>
      </c>
    </row>
    <row r="34" spans="1:17">
      <c r="A34" s="110">
        <v>39530</v>
      </c>
      <c r="B34" s="133">
        <f t="shared" si="6"/>
        <v>63.666666666666714</v>
      </c>
      <c r="C34" s="6" t="s">
        <v>78</v>
      </c>
      <c r="D34" s="7">
        <v>84.4</v>
      </c>
      <c r="E34" s="7">
        <v>40.299999999999997</v>
      </c>
      <c r="F34" s="4">
        <f t="shared" si="8"/>
        <v>1722.6040000000003</v>
      </c>
      <c r="G34" s="4">
        <f t="shared" si="7"/>
        <v>633.84400000000005</v>
      </c>
      <c r="H34" s="4"/>
      <c r="I34">
        <f t="shared" si="2"/>
        <v>95</v>
      </c>
      <c r="J34">
        <v>32</v>
      </c>
      <c r="K34" s="127">
        <f t="shared" ca="1" si="3"/>
        <v>11421.676917301131</v>
      </c>
      <c r="L34" s="126">
        <f ca="1">K34*(1+'All Income'!M34)</f>
        <v>11746.563433722607</v>
      </c>
      <c r="N34">
        <f t="shared" si="0"/>
        <v>94</v>
      </c>
      <c r="O34">
        <f t="shared" si="1"/>
        <v>32</v>
      </c>
      <c r="P34" s="127">
        <f t="shared" ca="1" si="4"/>
        <v>3885.4088027349571</v>
      </c>
      <c r="Q34" s="126">
        <f ca="1">P34*(1+'All Income'!M34)</f>
        <v>3995.9282071913899</v>
      </c>
    </row>
    <row r="35" spans="1:17">
      <c r="A35" s="110">
        <v>39561</v>
      </c>
      <c r="B35" s="133">
        <f t="shared" si="6"/>
        <v>63.75000000000005</v>
      </c>
      <c r="C35" s="6" t="s">
        <v>79</v>
      </c>
      <c r="D35" s="7">
        <v>85</v>
      </c>
      <c r="E35" s="7">
        <v>40.6</v>
      </c>
      <c r="F35" s="4">
        <f t="shared" si="8"/>
        <v>1734.85</v>
      </c>
      <c r="G35" s="4">
        <f t="shared" si="7"/>
        <v>638.35</v>
      </c>
      <c r="H35" s="4"/>
      <c r="I35">
        <f t="shared" si="2"/>
        <v>96</v>
      </c>
      <c r="J35">
        <v>33</v>
      </c>
      <c r="K35" s="127">
        <f t="shared" ca="1" si="3"/>
        <v>11746.563433722607</v>
      </c>
      <c r="L35" s="126">
        <f ca="1">K35*(1+'All Income'!M35)</f>
        <v>12075.280969753598</v>
      </c>
      <c r="N35">
        <f t="shared" si="0"/>
        <v>95</v>
      </c>
      <c r="O35">
        <f t="shared" si="1"/>
        <v>33</v>
      </c>
      <c r="P35" s="127">
        <f t="shared" ca="1" si="4"/>
        <v>3995.9282071913899</v>
      </c>
      <c r="Q35" s="126">
        <f ca="1">P35*(1+'All Income'!M35)</f>
        <v>4107.7508421123184</v>
      </c>
    </row>
    <row r="36" spans="1:17">
      <c r="A36" s="110">
        <v>39591</v>
      </c>
      <c r="B36" s="133">
        <f t="shared" si="6"/>
        <v>63.833333333333385</v>
      </c>
      <c r="C36" s="6" t="s">
        <v>80</v>
      </c>
      <c r="D36" s="7">
        <v>85.6</v>
      </c>
      <c r="E36" s="7">
        <v>41</v>
      </c>
      <c r="F36" s="4">
        <f t="shared" si="8"/>
        <v>1747.0959999999998</v>
      </c>
      <c r="G36" s="4">
        <f t="shared" si="7"/>
        <v>642.85599999999999</v>
      </c>
      <c r="H36" s="4"/>
      <c r="I36">
        <f t="shared" si="2"/>
        <v>97</v>
      </c>
      <c r="J36">
        <v>34</v>
      </c>
      <c r="K36" s="127">
        <f t="shared" ca="1" si="3"/>
        <v>12075.280969753598</v>
      </c>
      <c r="L36" s="126">
        <f ca="1">K36*(1+'All Income'!M36)</f>
        <v>12407.635693051507</v>
      </c>
      <c r="N36">
        <f t="shared" si="0"/>
        <v>96</v>
      </c>
      <c r="O36">
        <f t="shared" si="1"/>
        <v>34</v>
      </c>
      <c r="P36" s="127">
        <f t="shared" ca="1" si="4"/>
        <v>4107.7508421123184</v>
      </c>
      <c r="Q36" s="126">
        <f ca="1">P36*(1+'All Income'!M36)</f>
        <v>4220.8107699041975</v>
      </c>
    </row>
    <row r="37" spans="1:17">
      <c r="A37" s="110">
        <v>39622</v>
      </c>
      <c r="B37" s="133">
        <f t="shared" si="6"/>
        <v>63.916666666666721</v>
      </c>
      <c r="C37" s="6" t="s">
        <v>81</v>
      </c>
      <c r="D37" s="7">
        <v>86.1</v>
      </c>
      <c r="E37" s="7">
        <v>41.3</v>
      </c>
      <c r="F37" s="4">
        <f t="shared" si="8"/>
        <v>1757.3009999999997</v>
      </c>
      <c r="G37" s="4">
        <f t="shared" si="7"/>
        <v>646.61099999999999</v>
      </c>
      <c r="H37" s="4"/>
      <c r="I37">
        <f t="shared" si="2"/>
        <v>98</v>
      </c>
      <c r="J37">
        <v>35</v>
      </c>
      <c r="K37" s="127">
        <f t="shared" ca="1" si="3"/>
        <v>12407.635693051507</v>
      </c>
      <c r="L37" s="126">
        <f ca="1">K37*(1+'All Income'!M37)</f>
        <v>12635.303898750659</v>
      </c>
      <c r="N37">
        <f t="shared" si="0"/>
        <v>97</v>
      </c>
      <c r="O37">
        <f t="shared" si="1"/>
        <v>35</v>
      </c>
      <c r="P37" s="127">
        <f t="shared" ca="1" si="4"/>
        <v>4220.8107699041975</v>
      </c>
      <c r="Q37" s="126">
        <f ca="1">P37*(1+'All Income'!M37)</f>
        <v>4298.258596255022</v>
      </c>
    </row>
    <row r="38" spans="1:17">
      <c r="A38" s="110">
        <v>39652</v>
      </c>
      <c r="B38" s="133">
        <f t="shared" si="6"/>
        <v>64.000000000000057</v>
      </c>
      <c r="C38" s="6">
        <v>64</v>
      </c>
      <c r="D38" s="7">
        <v>86.7</v>
      </c>
      <c r="E38" s="7">
        <v>41.7</v>
      </c>
      <c r="F38" s="112">
        <f t="shared" si="8"/>
        <v>1769.547</v>
      </c>
      <c r="G38" s="4">
        <f t="shared" si="7"/>
        <v>651.11700000000008</v>
      </c>
      <c r="H38" s="4"/>
    </row>
    <row r="39" spans="1:17">
      <c r="A39" s="110">
        <v>39683</v>
      </c>
      <c r="B39" s="133">
        <f t="shared" si="6"/>
        <v>64.083333333333385</v>
      </c>
      <c r="C39" s="6" t="s">
        <v>82</v>
      </c>
      <c r="D39" s="7">
        <v>87.2</v>
      </c>
      <c r="E39" s="7">
        <v>42</v>
      </c>
      <c r="F39" s="4">
        <f t="shared" si="8"/>
        <v>1779.7520000000002</v>
      </c>
      <c r="G39" s="4">
        <f t="shared" si="7"/>
        <v>654.87200000000007</v>
      </c>
      <c r="H39" s="4"/>
    </row>
    <row r="40" spans="1:17">
      <c r="A40" s="110">
        <v>39714</v>
      </c>
      <c r="B40" s="133">
        <f t="shared" si="6"/>
        <v>64.166666666666714</v>
      </c>
      <c r="C40" s="6" t="s">
        <v>83</v>
      </c>
      <c r="D40" s="7">
        <v>87.8</v>
      </c>
      <c r="E40" s="7">
        <v>42.4</v>
      </c>
      <c r="F40" s="4">
        <f t="shared" si="8"/>
        <v>1791.9979999999998</v>
      </c>
      <c r="G40" s="4">
        <f t="shared" si="7"/>
        <v>659.37800000000004</v>
      </c>
      <c r="H40" s="4"/>
    </row>
    <row r="41" spans="1:17">
      <c r="A41" s="110">
        <v>39744</v>
      </c>
      <c r="B41" s="133">
        <f t="shared" si="6"/>
        <v>64.250000000000043</v>
      </c>
      <c r="C41" s="6" t="s">
        <v>84</v>
      </c>
      <c r="D41" s="7">
        <v>88.3</v>
      </c>
      <c r="E41" s="7">
        <v>42.7</v>
      </c>
      <c r="F41" s="4">
        <f t="shared" si="8"/>
        <v>1802.203</v>
      </c>
      <c r="G41" s="4">
        <f t="shared" si="7"/>
        <v>663.13300000000004</v>
      </c>
      <c r="H41" s="4"/>
    </row>
    <row r="42" spans="1:17">
      <c r="A42" s="110">
        <v>39775</v>
      </c>
      <c r="B42" s="133">
        <f t="shared" si="6"/>
        <v>64.333333333333371</v>
      </c>
      <c r="C42" s="6" t="s">
        <v>85</v>
      </c>
      <c r="D42" s="7">
        <v>88.9</v>
      </c>
      <c r="E42" s="7">
        <v>43.1</v>
      </c>
      <c r="F42" s="4">
        <f t="shared" si="8"/>
        <v>1814.4490000000003</v>
      </c>
      <c r="G42" s="4">
        <f t="shared" si="7"/>
        <v>667.63900000000012</v>
      </c>
      <c r="H42" s="4"/>
    </row>
    <row r="43" spans="1:17">
      <c r="A43" s="110">
        <v>39805</v>
      </c>
      <c r="B43" s="133">
        <f t="shared" si="6"/>
        <v>64.4166666666667</v>
      </c>
      <c r="C43" s="6" t="s">
        <v>86</v>
      </c>
      <c r="D43" s="7">
        <v>89.4</v>
      </c>
      <c r="E43" s="7">
        <v>43.4</v>
      </c>
      <c r="F43" s="4">
        <f t="shared" si="8"/>
        <v>1824.6540000000002</v>
      </c>
      <c r="G43" s="4">
        <f t="shared" si="7"/>
        <v>671.39400000000012</v>
      </c>
      <c r="H43" s="4"/>
    </row>
    <row r="44" spans="1:17">
      <c r="A44" s="110">
        <v>39836</v>
      </c>
      <c r="B44" s="133">
        <f t="shared" si="6"/>
        <v>64.500000000000028</v>
      </c>
      <c r="C44" s="6" t="s">
        <v>87</v>
      </c>
      <c r="D44" s="7">
        <v>90</v>
      </c>
      <c r="E44" s="7">
        <v>43.8</v>
      </c>
      <c r="F44" s="4">
        <f t="shared" si="8"/>
        <v>1836.9</v>
      </c>
      <c r="G44" s="4">
        <f t="shared" si="7"/>
        <v>675.9</v>
      </c>
      <c r="H44" s="4"/>
    </row>
    <row r="45" spans="1:17">
      <c r="A45" s="110">
        <v>39867</v>
      </c>
      <c r="B45" s="133">
        <f t="shared" si="6"/>
        <v>64.583333333333357</v>
      </c>
      <c r="C45" s="6" t="s">
        <v>88</v>
      </c>
      <c r="D45" s="7">
        <v>90.6</v>
      </c>
      <c r="E45" s="7">
        <v>44.1</v>
      </c>
      <c r="F45" s="4">
        <f t="shared" si="8"/>
        <v>1849.1459999999997</v>
      </c>
      <c r="G45" s="4">
        <f t="shared" si="7"/>
        <v>680.40599999999995</v>
      </c>
      <c r="H45" s="4"/>
    </row>
    <row r="46" spans="1:17">
      <c r="A46" s="110">
        <v>39895</v>
      </c>
      <c r="B46" s="133">
        <f t="shared" si="6"/>
        <v>64.666666666666686</v>
      </c>
      <c r="C46" s="6" t="s">
        <v>89</v>
      </c>
      <c r="D46" s="7">
        <v>91.1</v>
      </c>
      <c r="E46" s="7">
        <v>44.4</v>
      </c>
      <c r="F46" s="4">
        <f t="shared" si="8"/>
        <v>1859.3509999999997</v>
      </c>
      <c r="G46" s="4">
        <f t="shared" si="7"/>
        <v>684.16099999999994</v>
      </c>
      <c r="H46" s="4"/>
    </row>
    <row r="47" spans="1:17">
      <c r="A47" s="110">
        <v>39926</v>
      </c>
      <c r="B47" s="133">
        <f t="shared" si="6"/>
        <v>64.750000000000014</v>
      </c>
      <c r="C47" s="6" t="s">
        <v>90</v>
      </c>
      <c r="D47" s="7">
        <v>91.7</v>
      </c>
      <c r="E47" s="7">
        <v>44.8</v>
      </c>
      <c r="F47" s="111">
        <f t="shared" si="8"/>
        <v>1871.5970000000002</v>
      </c>
      <c r="G47" s="4">
        <f t="shared" si="7"/>
        <v>688.66699999999992</v>
      </c>
      <c r="H47" s="4"/>
    </row>
    <row r="48" spans="1:17">
      <c r="A48" s="110">
        <v>39956</v>
      </c>
      <c r="B48" s="133">
        <f t="shared" si="6"/>
        <v>64.833333333333343</v>
      </c>
      <c r="C48" s="6" t="s">
        <v>91</v>
      </c>
      <c r="D48" s="7">
        <v>92.2</v>
      </c>
      <c r="E48" s="7">
        <v>45.1</v>
      </c>
      <c r="F48" s="4">
        <f t="shared" si="8"/>
        <v>1881.8020000000001</v>
      </c>
      <c r="G48" s="4">
        <f t="shared" si="7"/>
        <v>692.42200000000003</v>
      </c>
      <c r="H48" s="4"/>
    </row>
    <row r="49" spans="1:8">
      <c r="A49" s="110">
        <v>39987</v>
      </c>
      <c r="B49" s="133">
        <f t="shared" si="6"/>
        <v>64.916666666666671</v>
      </c>
      <c r="C49" s="6" t="s">
        <v>92</v>
      </c>
      <c r="D49" s="7">
        <v>92.8</v>
      </c>
      <c r="E49" s="7">
        <v>45.5</v>
      </c>
      <c r="F49" s="4">
        <f t="shared" si="8"/>
        <v>1894.0479999999998</v>
      </c>
      <c r="G49" s="4">
        <f t="shared" si="7"/>
        <v>696.928</v>
      </c>
      <c r="H49" s="4"/>
    </row>
    <row r="50" spans="1:8">
      <c r="A50" s="110">
        <v>40017</v>
      </c>
      <c r="B50" s="133">
        <f t="shared" si="6"/>
        <v>65</v>
      </c>
      <c r="C50" s="6">
        <v>65</v>
      </c>
      <c r="D50" s="7">
        <v>93.3</v>
      </c>
      <c r="E50" s="7">
        <v>45.8</v>
      </c>
      <c r="F50" s="4">
        <f t="shared" si="8"/>
        <v>1904.2529999999999</v>
      </c>
      <c r="G50" s="4">
        <f t="shared" si="7"/>
        <v>700.68299999999999</v>
      </c>
      <c r="H50" s="4"/>
    </row>
    <row r="51" spans="1:8">
      <c r="A51" s="110">
        <v>40048</v>
      </c>
      <c r="B51" s="133">
        <f t="shared" si="6"/>
        <v>65.083333333333329</v>
      </c>
      <c r="C51" s="6" t="s">
        <v>93</v>
      </c>
      <c r="D51" s="7">
        <v>93.9</v>
      </c>
      <c r="E51" s="7">
        <v>46.2</v>
      </c>
      <c r="F51" s="4">
        <f t="shared" si="8"/>
        <v>1916.4990000000003</v>
      </c>
      <c r="G51" s="4">
        <f t="shared" si="7"/>
        <v>705.18900000000008</v>
      </c>
      <c r="H51" s="4"/>
    </row>
    <row r="52" spans="1:8">
      <c r="A52" s="110">
        <v>40079</v>
      </c>
      <c r="B52" s="133">
        <f t="shared" si="6"/>
        <v>65.166666666666657</v>
      </c>
      <c r="C52" s="6" t="s">
        <v>94</v>
      </c>
      <c r="D52" s="7">
        <v>94.4</v>
      </c>
      <c r="E52" s="7">
        <v>46.5</v>
      </c>
      <c r="F52" s="4">
        <f t="shared" si="8"/>
        <v>1926.7040000000002</v>
      </c>
      <c r="G52" s="4">
        <f t="shared" si="7"/>
        <v>708.94400000000007</v>
      </c>
      <c r="H52" s="4"/>
    </row>
    <row r="53" spans="1:8">
      <c r="A53" s="110">
        <v>40109</v>
      </c>
      <c r="B53" s="133">
        <f t="shared" si="6"/>
        <v>65.249999999999986</v>
      </c>
      <c r="C53" s="6" t="s">
        <v>95</v>
      </c>
      <c r="D53" s="7">
        <v>95</v>
      </c>
      <c r="E53" s="7">
        <v>46.9</v>
      </c>
      <c r="F53" s="4">
        <f t="shared" si="8"/>
        <v>1938.95</v>
      </c>
      <c r="G53" s="4">
        <f t="shared" si="7"/>
        <v>713.45</v>
      </c>
      <c r="H53" s="4"/>
    </row>
    <row r="54" spans="1:8">
      <c r="A54" s="110">
        <v>40140</v>
      </c>
      <c r="B54" s="133">
        <f t="shared" si="6"/>
        <v>65.333333333333314</v>
      </c>
      <c r="C54" s="6" t="s">
        <v>96</v>
      </c>
      <c r="D54" s="7">
        <v>95.6</v>
      </c>
      <c r="E54" s="7">
        <v>47.2</v>
      </c>
      <c r="F54" s="4">
        <f t="shared" si="8"/>
        <v>1951.1959999999997</v>
      </c>
      <c r="G54" s="4">
        <f t="shared" si="7"/>
        <v>717.9559999999999</v>
      </c>
      <c r="H54" s="4"/>
    </row>
    <row r="55" spans="1:8">
      <c r="A55" s="110">
        <v>40170</v>
      </c>
      <c r="B55" s="133">
        <f t="shared" si="6"/>
        <v>65.416666666666643</v>
      </c>
      <c r="C55" s="6" t="s">
        <v>97</v>
      </c>
      <c r="D55" s="7">
        <v>96.1</v>
      </c>
      <c r="E55" s="7">
        <v>47.6</v>
      </c>
      <c r="F55" s="4">
        <f t="shared" si="8"/>
        <v>1961.4009999999998</v>
      </c>
      <c r="G55" s="4">
        <f t="shared" si="7"/>
        <v>721.7109999999999</v>
      </c>
      <c r="H55" s="4"/>
    </row>
    <row r="56" spans="1:8">
      <c r="A56" s="110">
        <v>40201</v>
      </c>
      <c r="B56" s="133">
        <f t="shared" si="6"/>
        <v>65.499999999999972</v>
      </c>
      <c r="C56" s="6" t="s">
        <v>98</v>
      </c>
      <c r="D56" s="7">
        <v>96.7</v>
      </c>
      <c r="E56" s="7">
        <v>47.9</v>
      </c>
      <c r="F56" s="4">
        <f t="shared" si="8"/>
        <v>1973.6470000000002</v>
      </c>
      <c r="G56" s="4">
        <f t="shared" si="7"/>
        <v>726.21699999999998</v>
      </c>
      <c r="H56" s="4"/>
    </row>
    <row r="57" spans="1:8">
      <c r="A57" s="110">
        <v>40232</v>
      </c>
      <c r="B57" s="133">
        <f t="shared" si="6"/>
        <v>65.5833333333333</v>
      </c>
      <c r="C57" s="6" t="s">
        <v>99</v>
      </c>
      <c r="D57" s="7">
        <v>97.2</v>
      </c>
      <c r="E57" s="7">
        <v>48.3</v>
      </c>
      <c r="F57" s="4">
        <f t="shared" si="8"/>
        <v>1983.8520000000001</v>
      </c>
      <c r="G57" s="4">
        <f t="shared" si="7"/>
        <v>729.97199999999998</v>
      </c>
      <c r="H57" s="4"/>
    </row>
    <row r="58" spans="1:8">
      <c r="A58" s="110">
        <v>40260</v>
      </c>
      <c r="B58" s="133">
        <f t="shared" si="6"/>
        <v>65.666666666666629</v>
      </c>
      <c r="C58" s="6" t="s">
        <v>100</v>
      </c>
      <c r="D58" s="7">
        <v>97.8</v>
      </c>
      <c r="E58" s="7">
        <v>48.6</v>
      </c>
      <c r="F58" s="4">
        <f t="shared" si="8"/>
        <v>1996.098</v>
      </c>
      <c r="G58" s="4">
        <f t="shared" si="7"/>
        <v>734.47800000000007</v>
      </c>
      <c r="H58" s="4"/>
    </row>
    <row r="59" spans="1:8">
      <c r="A59" s="110">
        <v>40291</v>
      </c>
      <c r="B59" s="133">
        <f t="shared" si="6"/>
        <v>65.749999999999957</v>
      </c>
      <c r="C59" s="6" t="s">
        <v>101</v>
      </c>
      <c r="D59" s="7">
        <v>98.3</v>
      </c>
      <c r="E59" s="7">
        <v>49</v>
      </c>
      <c r="F59" s="4">
        <f t="shared" si="8"/>
        <v>2006.3029999999999</v>
      </c>
      <c r="G59" s="4">
        <f t="shared" si="7"/>
        <v>738.23300000000006</v>
      </c>
      <c r="H59" s="4"/>
    </row>
    <row r="60" spans="1:8">
      <c r="A60" s="110">
        <v>40321</v>
      </c>
      <c r="B60" s="133">
        <f t="shared" si="6"/>
        <v>65.833333333333286</v>
      </c>
      <c r="C60" s="6" t="s">
        <v>102</v>
      </c>
      <c r="D60" s="7">
        <v>98.9</v>
      </c>
      <c r="E60" s="7">
        <v>49.3</v>
      </c>
      <c r="F60" s="4">
        <f t="shared" si="8"/>
        <v>2018.5490000000002</v>
      </c>
      <c r="G60" s="4">
        <f t="shared" si="7"/>
        <v>742.73900000000003</v>
      </c>
      <c r="H60" s="4"/>
    </row>
    <row r="61" spans="1:8">
      <c r="A61" s="110">
        <v>40352</v>
      </c>
      <c r="B61" s="133">
        <f t="shared" si="6"/>
        <v>65.916666666666615</v>
      </c>
      <c r="C61" s="6" t="s">
        <v>103</v>
      </c>
      <c r="D61" s="7">
        <v>99.4</v>
      </c>
      <c r="E61" s="7">
        <v>49.7</v>
      </c>
      <c r="F61" s="4">
        <f t="shared" si="8"/>
        <v>2028.7540000000001</v>
      </c>
      <c r="G61" s="4">
        <f t="shared" si="7"/>
        <v>746.49400000000014</v>
      </c>
      <c r="H61" s="4"/>
    </row>
    <row r="62" spans="1:8">
      <c r="A62" s="110">
        <v>40382</v>
      </c>
      <c r="B62" s="133">
        <f t="shared" si="6"/>
        <v>65.999999999999943</v>
      </c>
      <c r="C62" s="6">
        <v>66</v>
      </c>
      <c r="D62" s="7">
        <v>100</v>
      </c>
      <c r="E62" s="7">
        <v>50</v>
      </c>
      <c r="F62" s="4">
        <f t="shared" si="8"/>
        <v>2041</v>
      </c>
      <c r="G62" s="4">
        <f t="shared" si="7"/>
        <v>751</v>
      </c>
      <c r="H62" s="4"/>
    </row>
  </sheetData>
  <phoneticPr fontId="2" type="noConversion"/>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I65"/>
  <sheetViews>
    <sheetView workbookViewId="0">
      <selection activeCell="C43" sqref="C43"/>
    </sheetView>
  </sheetViews>
  <sheetFormatPr defaultRowHeight="12.75"/>
  <cols>
    <col min="9" max="9" width="11" customWidth="1"/>
  </cols>
  <sheetData>
    <row r="1" spans="1:8" ht="18">
      <c r="E1" s="29" t="s">
        <v>14</v>
      </c>
    </row>
    <row r="3" spans="1:8">
      <c r="A3" t="s">
        <v>15</v>
      </c>
    </row>
    <row r="5" spans="1:8">
      <c r="A5" s="30" t="s">
        <v>16</v>
      </c>
    </row>
    <row r="6" spans="1:8">
      <c r="A6" s="30" t="s">
        <v>17</v>
      </c>
    </row>
    <row r="8" spans="1:8" ht="13.5" thickBot="1"/>
    <row r="9" spans="1:8" ht="13.5" thickBot="1">
      <c r="A9" t="s">
        <v>18</v>
      </c>
      <c r="E9" t="s">
        <v>19</v>
      </c>
      <c r="F9" s="99">
        <f>'Q&amp;A'!A4</f>
        <v>64</v>
      </c>
      <c r="G9" t="s">
        <v>20</v>
      </c>
      <c r="H9" s="31">
        <v>0</v>
      </c>
    </row>
    <row r="10" spans="1:8">
      <c r="A10" s="30" t="s">
        <v>21</v>
      </c>
    </row>
    <row r="11" spans="1:8" ht="13.5" thickBot="1"/>
    <row r="12" spans="1:8" ht="13.5" thickBot="1">
      <c r="A12" s="30" t="s">
        <v>22</v>
      </c>
      <c r="F12" s="100">
        <f>'Q&amp;A'!A23</f>
        <v>93000</v>
      </c>
    </row>
    <row r="13" spans="1:8" ht="13.5" thickBot="1"/>
    <row r="14" spans="1:8" ht="13.5" thickBot="1">
      <c r="A14" t="s">
        <v>23</v>
      </c>
      <c r="E14" t="s">
        <v>19</v>
      </c>
      <c r="F14" s="99">
        <f>F9-42</f>
        <v>22</v>
      </c>
      <c r="G14" t="s">
        <v>20</v>
      </c>
      <c r="H14" s="31">
        <v>0</v>
      </c>
    </row>
    <row r="15" spans="1:8">
      <c r="A15" s="30" t="s">
        <v>24</v>
      </c>
      <c r="B15" s="30"/>
    </row>
    <row r="16" spans="1:8" ht="13.5" thickBot="1"/>
    <row r="17" spans="1:8" ht="13.5" thickBot="1">
      <c r="A17" t="s">
        <v>25</v>
      </c>
      <c r="G17" s="32" t="s">
        <v>26</v>
      </c>
      <c r="H17" s="31"/>
    </row>
    <row r="19" spans="1:8" ht="18">
      <c r="E19" s="29" t="s">
        <v>27</v>
      </c>
    </row>
    <row r="20" spans="1:8" ht="13.5" thickBot="1"/>
    <row r="21" spans="1:8" ht="13.5" thickBot="1">
      <c r="A21" t="s">
        <v>28</v>
      </c>
      <c r="E21" s="33">
        <f>+E49</f>
        <v>22506</v>
      </c>
      <c r="G21" t="s">
        <v>29</v>
      </c>
    </row>
    <row r="22" spans="1:8" ht="13.5" thickBot="1">
      <c r="H22" s="34"/>
    </row>
    <row r="23" spans="1:8" ht="13.5" thickBot="1">
      <c r="A23" t="s">
        <v>30</v>
      </c>
      <c r="E23" s="34"/>
      <c r="H23" s="33">
        <f>IF(F9&lt;62,E59,0)</f>
        <v>0</v>
      </c>
    </row>
    <row r="24" spans="1:8" ht="13.5" thickBot="1"/>
    <row r="25" spans="1:8" ht="13.5" thickBot="1">
      <c r="A25" s="30" t="s">
        <v>31</v>
      </c>
      <c r="D25" s="35">
        <v>0.5</v>
      </c>
      <c r="E25" s="33">
        <f>+D63</f>
        <v>2251</v>
      </c>
      <c r="G25" s="35">
        <v>0.25</v>
      </c>
      <c r="H25" s="33">
        <f>+D65</f>
        <v>1125</v>
      </c>
    </row>
    <row r="27" spans="1:8">
      <c r="A27" t="s">
        <v>32</v>
      </c>
    </row>
    <row r="28" spans="1:8">
      <c r="A28" s="30" t="s">
        <v>33</v>
      </c>
    </row>
    <row r="29" spans="1:8">
      <c r="A29" s="30" t="s">
        <v>34</v>
      </c>
    </row>
    <row r="30" spans="1:8">
      <c r="A30" t="s">
        <v>35</v>
      </c>
    </row>
    <row r="31" spans="1:8">
      <c r="A31" t="s">
        <v>36</v>
      </c>
    </row>
    <row r="32" spans="1:8">
      <c r="A32" t="s">
        <v>37</v>
      </c>
    </row>
    <row r="33" spans="1:9">
      <c r="A33" s="36" t="s">
        <v>38</v>
      </c>
    </row>
    <row r="34" spans="1:9">
      <c r="A34" t="s">
        <v>39</v>
      </c>
    </row>
    <row r="35" spans="1:9">
      <c r="A35" t="s">
        <v>40</v>
      </c>
    </row>
    <row r="36" spans="1:9">
      <c r="A36" t="s">
        <v>41</v>
      </c>
    </row>
    <row r="40" spans="1:9">
      <c r="A40" s="30"/>
      <c r="C40" s="37"/>
    </row>
    <row r="41" spans="1:9">
      <c r="A41" t="s">
        <v>42</v>
      </c>
      <c r="C41">
        <f>+H14</f>
        <v>0</v>
      </c>
    </row>
    <row r="42" spans="1:9">
      <c r="A42" t="s">
        <v>19</v>
      </c>
      <c r="C42">
        <f>+F14</f>
        <v>22</v>
      </c>
    </row>
    <row r="43" spans="1:9" ht="13.5" thickBot="1">
      <c r="A43" t="s">
        <v>43</v>
      </c>
      <c r="C43">
        <f>+C42+(C41)/12</f>
        <v>22</v>
      </c>
    </row>
    <row r="44" spans="1:9" ht="13.5" thickBot="1">
      <c r="I44" s="140">
        <f>(E21-E25)/12</f>
        <v>1687.9166666666667</v>
      </c>
    </row>
    <row r="46" spans="1:9">
      <c r="A46" t="s">
        <v>44</v>
      </c>
      <c r="E46">
        <f>ROUND(0.01*F12*C43,0)</f>
        <v>20460</v>
      </c>
    </row>
    <row r="47" spans="1:9" ht="13.5" thickBot="1">
      <c r="I47" s="38">
        <v>1560</v>
      </c>
    </row>
    <row r="48" spans="1:9" ht="13.5" thickBot="1">
      <c r="A48" s="30" t="s">
        <v>45</v>
      </c>
      <c r="E48" s="34">
        <f>IF(AND(F9&gt;=62,F14&gt;=20),ROUND(0.011*F12*C43,0),E46)</f>
        <v>22506</v>
      </c>
      <c r="I48" s="39">
        <v>1223.03</v>
      </c>
    </row>
    <row r="49" spans="1:5">
      <c r="A49" t="s">
        <v>46</v>
      </c>
      <c r="E49" s="34">
        <f>IF(F9&lt;62,E46,E48)</f>
        <v>22506</v>
      </c>
    </row>
    <row r="50" spans="1:5" ht="13.5" thickBot="1">
      <c r="E50" s="34"/>
    </row>
    <row r="51" spans="1:5">
      <c r="A51" t="s">
        <v>47</v>
      </c>
      <c r="E51" s="40">
        <f>IF(AND(F9&gt;=60,F14&gt;=20),E49,0)</f>
        <v>22506</v>
      </c>
    </row>
    <row r="52" spans="1:5">
      <c r="A52" t="s">
        <v>48</v>
      </c>
      <c r="E52" s="41">
        <f>IF(AND(F9&gt;=55,F14&gt;=30),E49,0)</f>
        <v>0</v>
      </c>
    </row>
    <row r="53" spans="1:5" ht="13.5" thickBot="1">
      <c r="A53" t="s">
        <v>49</v>
      </c>
      <c r="E53" s="42">
        <f>IF(AND(F9&gt;=62,F14&gt;=5),E49,0)</f>
        <v>22506</v>
      </c>
    </row>
    <row r="54" spans="1:5">
      <c r="E54" s="34"/>
    </row>
    <row r="56" spans="1:5">
      <c r="A56" s="43" t="s">
        <v>50</v>
      </c>
    </row>
    <row r="57" spans="1:5">
      <c r="A57" t="s">
        <v>51</v>
      </c>
      <c r="E57">
        <f>IF(F9&lt;62,(62-F9)*0.05,0)</f>
        <v>0</v>
      </c>
    </row>
    <row r="58" spans="1:5" ht="13.5" thickBot="1">
      <c r="A58" t="s">
        <v>52</v>
      </c>
      <c r="E58">
        <f>ROUND(E46-(E46*E57),0)</f>
        <v>20460</v>
      </c>
    </row>
    <row r="59" spans="1:5" ht="13.5" thickBot="1">
      <c r="A59" t="s">
        <v>53</v>
      </c>
      <c r="E59" s="33">
        <f>MAX(E51,E52,E53,E58)</f>
        <v>22506</v>
      </c>
    </row>
    <row r="62" spans="1:5">
      <c r="A62" s="44" t="s">
        <v>54</v>
      </c>
    </row>
    <row r="63" spans="1:5">
      <c r="A63" t="s">
        <v>55</v>
      </c>
      <c r="D63">
        <f>ROUND(IF( E59=0,E49*0.1,E59*0.1),0)</f>
        <v>2251</v>
      </c>
    </row>
    <row r="65" spans="1:4">
      <c r="A65" t="s">
        <v>56</v>
      </c>
      <c r="D65">
        <f>ROUND(IF( E59=0,E49*0.05,E59*0.05),0)</f>
        <v>1125</v>
      </c>
    </row>
  </sheetData>
  <phoneticPr fontId="2"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dimension ref="A1:E36"/>
  <sheetViews>
    <sheetView workbookViewId="0">
      <selection activeCell="E2" sqref="E2"/>
    </sheetView>
  </sheetViews>
  <sheetFormatPr defaultRowHeight="12.75"/>
  <sheetData>
    <row r="1" spans="1:5" s="1" customFormat="1" ht="25.5">
      <c r="A1" s="1" t="s">
        <v>0</v>
      </c>
      <c r="B1" s="1" t="s">
        <v>119</v>
      </c>
      <c r="C1" s="1" t="s">
        <v>120</v>
      </c>
      <c r="D1" s="1" t="s">
        <v>108</v>
      </c>
      <c r="E1" s="1" t="s">
        <v>121</v>
      </c>
    </row>
    <row r="2" spans="1:5">
      <c r="A2">
        <v>1</v>
      </c>
      <c r="B2" s="27">
        <f>'Q&amp;A'!A15</f>
        <v>1000</v>
      </c>
      <c r="C2" s="22">
        <f>0.3*B2</f>
        <v>300</v>
      </c>
      <c r="D2" s="22">
        <f>B2-C2</f>
        <v>700</v>
      </c>
      <c r="E2" s="24">
        <f ca="1">'All Income'!R3</f>
        <v>4.4914896009455732E-3</v>
      </c>
    </row>
    <row r="3" spans="1:5">
      <c r="A3">
        <v>2</v>
      </c>
      <c r="B3" s="22">
        <f ca="1">B2*(1+$E3)</f>
        <v>1003.0815559172603</v>
      </c>
      <c r="C3" s="22">
        <f t="shared" ref="C3:C36" ca="1" si="0">0.3*B3</f>
        <v>300.92446677517808</v>
      </c>
      <c r="D3" s="22">
        <f t="shared" ref="D3:D36" ca="1" si="1">B3-C3</f>
        <v>702.15708914208221</v>
      </c>
      <c r="E3" s="24">
        <f ca="1">'All Income'!R4</f>
        <v>3.0815559172603551E-3</v>
      </c>
    </row>
    <row r="4" spans="1:5">
      <c r="A4">
        <v>3</v>
      </c>
      <c r="B4" s="22">
        <f t="shared" ref="B4:B36" ca="1" si="2">B3*(1+$E4)</f>
        <v>1004.7583293482206</v>
      </c>
      <c r="C4" s="22">
        <f t="shared" ca="1" si="0"/>
        <v>301.42749880446615</v>
      </c>
      <c r="D4" s="22">
        <f t="shared" ca="1" si="1"/>
        <v>703.33083054375447</v>
      </c>
      <c r="E4" s="24">
        <f ca="1">'All Income'!R5</f>
        <v>1.6716222335751364E-3</v>
      </c>
    </row>
    <row r="5" spans="1:5">
      <c r="A5">
        <v>4</v>
      </c>
      <c r="B5" s="22">
        <f t="shared" ca="1" si="2"/>
        <v>1005.0212630984175</v>
      </c>
      <c r="C5" s="22">
        <f t="shared" ca="1" si="0"/>
        <v>301.50637892952523</v>
      </c>
      <c r="D5" s="22">
        <f t="shared" ca="1" si="1"/>
        <v>703.51488416889231</v>
      </c>
      <c r="E5" s="24">
        <f ca="1">'All Income'!R6</f>
        <v>2.6168854988991783E-4</v>
      </c>
    </row>
    <row r="6" spans="1:5">
      <c r="A6">
        <v>5</v>
      </c>
      <c r="B6" s="22">
        <f t="shared" ca="1" si="2"/>
        <v>1017.5033869320929</v>
      </c>
      <c r="C6" s="22">
        <f t="shared" ca="1" si="0"/>
        <v>305.25101607962785</v>
      </c>
      <c r="D6" s="22">
        <f t="shared" ca="1" si="1"/>
        <v>712.25237085246499</v>
      </c>
      <c r="E6" s="24">
        <f ca="1">'All Income'!R7</f>
        <v>1.2419760946344293E-2</v>
      </c>
    </row>
    <row r="7" spans="1:5">
      <c r="A7">
        <v>6</v>
      </c>
      <c r="B7" s="22">
        <f t="shared" ca="1" si="2"/>
        <v>1042.5114156018431</v>
      </c>
      <c r="C7" s="22">
        <f t="shared" ca="1" si="0"/>
        <v>312.75342468055288</v>
      </c>
      <c r="D7" s="22">
        <f t="shared" ca="1" si="1"/>
        <v>729.75799092129023</v>
      </c>
      <c r="E7" s="24">
        <f ca="1">'All Income'!R8</f>
        <v>2.4577833342798668E-2</v>
      </c>
    </row>
    <row r="8" spans="1:5">
      <c r="A8">
        <v>7</v>
      </c>
      <c r="B8" s="22">
        <f t="shared" ca="1" si="2"/>
        <v>1080.8090166974878</v>
      </c>
      <c r="C8" s="22">
        <f t="shared" ca="1" si="0"/>
        <v>324.24270500924632</v>
      </c>
      <c r="D8" s="22">
        <f t="shared" ca="1" si="1"/>
        <v>756.56631168824151</v>
      </c>
      <c r="E8" s="24">
        <f ca="1">'All Income'!R9</f>
        <v>3.673590573925304E-2</v>
      </c>
    </row>
    <row r="9" spans="1:5">
      <c r="A9">
        <v>8</v>
      </c>
      <c r="B9" s="22">
        <f t="shared" ca="1" si="2"/>
        <v>1115.9832156534928</v>
      </c>
      <c r="C9" s="22">
        <f t="shared" ca="1" si="0"/>
        <v>334.79496469604783</v>
      </c>
      <c r="D9" s="22">
        <f t="shared" ca="1" si="1"/>
        <v>781.18825095744501</v>
      </c>
      <c r="E9" s="24">
        <f ca="1">'All Income'!R10</f>
        <v>3.2544324124425872E-2</v>
      </c>
    </row>
    <row r="10" spans="1:5">
      <c r="A10">
        <v>9</v>
      </c>
      <c r="B10" s="22">
        <f t="shared" ca="1" si="2"/>
        <v>1147.6244004119501</v>
      </c>
      <c r="C10" s="22">
        <f t="shared" ca="1" si="0"/>
        <v>344.287320123585</v>
      </c>
      <c r="D10" s="22">
        <f t="shared" ca="1" si="1"/>
        <v>803.33708028836509</v>
      </c>
      <c r="E10" s="24">
        <f ca="1">'All Income'!R11</f>
        <v>2.8352742509598711E-2</v>
      </c>
    </row>
    <row r="11" spans="1:5">
      <c r="A11">
        <v>10</v>
      </c>
      <c r="B11" s="22">
        <f t="shared" ca="1" si="2"/>
        <v>1175.352338197069</v>
      </c>
      <c r="C11" s="22">
        <f t="shared" ca="1" si="0"/>
        <v>352.60570145912067</v>
      </c>
      <c r="D11" s="22">
        <f t="shared" ca="1" si="1"/>
        <v>822.74663673794839</v>
      </c>
      <c r="E11" s="24">
        <f ca="1">'All Income'!R12</f>
        <v>2.4161160894771546E-2</v>
      </c>
    </row>
    <row r="12" spans="1:5">
      <c r="A12">
        <v>11</v>
      </c>
      <c r="B12" s="22">
        <f t="shared" ca="1" si="2"/>
        <v>1196.5122698497528</v>
      </c>
      <c r="C12" s="22">
        <f t="shared" ca="1" si="0"/>
        <v>358.9536809549258</v>
      </c>
      <c r="D12" s="22">
        <f t="shared" ca="1" si="1"/>
        <v>837.55858889482693</v>
      </c>
      <c r="E12" s="24">
        <f ca="1">'All Income'!R13</f>
        <v>1.8003054033262952E-2</v>
      </c>
    </row>
    <row r="13" spans="1:5">
      <c r="A13">
        <v>12</v>
      </c>
      <c r="B13" s="22">
        <f t="shared" ca="1" si="2"/>
        <v>1210.684894476479</v>
      </c>
      <c r="C13" s="22">
        <f t="shared" ca="1" si="0"/>
        <v>363.20546834294367</v>
      </c>
      <c r="D13" s="22">
        <f t="shared" ca="1" si="1"/>
        <v>847.4794261335353</v>
      </c>
      <c r="E13" s="24">
        <f ca="1">'All Income'!R14</f>
        <v>1.1844947171754361E-2</v>
      </c>
    </row>
    <row r="14" spans="1:5">
      <c r="A14">
        <v>13</v>
      </c>
      <c r="B14" s="22">
        <f t="shared" ca="1" si="2"/>
        <v>1217.5698661373933</v>
      </c>
      <c r="C14" s="22">
        <f t="shared" ca="1" si="0"/>
        <v>365.27095984121797</v>
      </c>
      <c r="D14" s="22">
        <f t="shared" ca="1" si="1"/>
        <v>852.29890629617535</v>
      </c>
      <c r="E14" s="24">
        <f ca="1">'All Income'!R15</f>
        <v>5.6868403102457677E-3</v>
      </c>
    </row>
    <row r="15" spans="1:5">
      <c r="A15">
        <v>14</v>
      </c>
      <c r="B15" s="22">
        <f t="shared" ca="1" si="2"/>
        <v>1231.569606205516</v>
      </c>
      <c r="C15" s="22">
        <f t="shared" ca="1" si="0"/>
        <v>369.47088186165479</v>
      </c>
      <c r="D15" s="22">
        <f t="shared" ca="1" si="1"/>
        <v>862.09872434386125</v>
      </c>
      <c r="E15" s="24">
        <f ca="1">'All Income'!R16</f>
        <v>1.1498099992023685E-2</v>
      </c>
    </row>
    <row r="16" spans="1:5">
      <c r="A16">
        <v>15</v>
      </c>
      <c r="B16" s="22">
        <f t="shared" ca="1" si="2"/>
        <v>1252.8872874826495</v>
      </c>
      <c r="C16" s="22">
        <f t="shared" ca="1" si="0"/>
        <v>375.86618624479485</v>
      </c>
      <c r="D16" s="22">
        <f t="shared" ca="1" si="1"/>
        <v>877.02110123785474</v>
      </c>
      <c r="E16" s="24">
        <f ca="1">'All Income'!R17</f>
        <v>1.7309359673801601E-2</v>
      </c>
    </row>
    <row r="17" spans="1:5">
      <c r="A17">
        <v>16</v>
      </c>
      <c r="B17" s="22">
        <f t="shared" ca="1" si="2"/>
        <v>1281.8548175519804</v>
      </c>
      <c r="C17" s="22">
        <f t="shared" ca="1" si="0"/>
        <v>384.55644526559411</v>
      </c>
      <c r="D17" s="22">
        <f t="shared" ca="1" si="1"/>
        <v>897.29837228638632</v>
      </c>
      <c r="E17" s="24">
        <f ca="1">'All Income'!R18</f>
        <v>2.3120619355579519E-2</v>
      </c>
    </row>
    <row r="18" spans="1:5">
      <c r="A18">
        <v>17</v>
      </c>
      <c r="B18" s="22">
        <f t="shared" ca="1" si="2"/>
        <v>1313.793085546866</v>
      </c>
      <c r="C18" s="22">
        <f t="shared" ca="1" si="0"/>
        <v>394.13792566405976</v>
      </c>
      <c r="D18" s="22">
        <f t="shared" ca="1" si="1"/>
        <v>919.65515988280617</v>
      </c>
      <c r="E18" s="24">
        <f ca="1">'All Income'!R19</f>
        <v>2.4915667170389635E-2</v>
      </c>
    </row>
    <row r="19" spans="1:5">
      <c r="A19">
        <v>18</v>
      </c>
      <c r="B19" s="22">
        <f t="shared" ca="1" si="2"/>
        <v>1348.8854382044344</v>
      </c>
      <c r="C19" s="22">
        <f t="shared" ca="1" si="0"/>
        <v>404.66563146133029</v>
      </c>
      <c r="D19" s="22">
        <f t="shared" ca="1" si="1"/>
        <v>944.21980674310407</v>
      </c>
      <c r="E19" s="24">
        <f ca="1">'All Income'!R20</f>
        <v>2.6710714985199755E-2</v>
      </c>
    </row>
    <row r="20" spans="1:5">
      <c r="A20">
        <v>19</v>
      </c>
      <c r="B20" s="22">
        <f t="shared" ca="1" si="2"/>
        <v>1387.3364465502773</v>
      </c>
      <c r="C20" s="22">
        <f t="shared" ca="1" si="0"/>
        <v>416.20093396508315</v>
      </c>
      <c r="D20" s="22">
        <f t="shared" ca="1" si="1"/>
        <v>971.13551258519419</v>
      </c>
      <c r="E20" s="24">
        <f ca="1">'All Income'!R21</f>
        <v>2.8505762800009871E-2</v>
      </c>
    </row>
    <row r="21" spans="1:5">
      <c r="A21">
        <v>20</v>
      </c>
      <c r="B21" s="22">
        <f t="shared" ca="1" si="2"/>
        <v>1416.4409089656644</v>
      </c>
      <c r="C21" s="22">
        <f t="shared" ca="1" si="0"/>
        <v>424.93227268969935</v>
      </c>
      <c r="D21" s="22">
        <f t="shared" ca="1" si="1"/>
        <v>991.50863627596505</v>
      </c>
      <c r="E21" s="24">
        <f ca="1">'All Income'!R22</f>
        <v>2.0978662016526525E-2</v>
      </c>
    </row>
    <row r="22" spans="1:5">
      <c r="A22">
        <v>21</v>
      </c>
      <c r="B22" s="22">
        <f t="shared" ca="1" si="2"/>
        <v>1435.4942505856036</v>
      </c>
      <c r="C22" s="22">
        <f t="shared" ca="1" si="0"/>
        <v>430.64827517568108</v>
      </c>
      <c r="D22" s="22">
        <f t="shared" ca="1" si="1"/>
        <v>1004.8459754099225</v>
      </c>
      <c r="E22" s="24">
        <f ca="1">'All Income'!R23</f>
        <v>1.3451561233043179E-2</v>
      </c>
    </row>
    <row r="23" spans="1:5">
      <c r="A23">
        <v>22</v>
      </c>
      <c r="B23" s="22">
        <f t="shared" ca="1" si="2"/>
        <v>1443.9987794987685</v>
      </c>
      <c r="C23" s="22">
        <f t="shared" ca="1" si="0"/>
        <v>433.19963384963052</v>
      </c>
      <c r="D23" s="22">
        <f t="shared" ca="1" si="1"/>
        <v>1010.7991456491379</v>
      </c>
      <c r="E23" s="24">
        <f ca="1">'All Income'!R24</f>
        <v>5.9244604495598324E-3</v>
      </c>
    </row>
    <row r="24" spans="1:5">
      <c r="A24">
        <v>23</v>
      </c>
      <c r="B24" s="22">
        <f t="shared" ca="1" si="2"/>
        <v>1452.8247918413267</v>
      </c>
      <c r="C24" s="22">
        <f t="shared" ca="1" si="0"/>
        <v>435.84743755239799</v>
      </c>
      <c r="D24" s="22">
        <f t="shared" ca="1" si="1"/>
        <v>1016.9773542889287</v>
      </c>
      <c r="E24" s="24">
        <f ca="1">'All Income'!R25</f>
        <v>6.1122020792994149E-3</v>
      </c>
    </row>
    <row r="25" spans="1:5">
      <c r="A25">
        <v>24</v>
      </c>
      <c r="B25" s="22">
        <f t="shared" ca="1" si="2"/>
        <v>1461.9775062490232</v>
      </c>
      <c r="C25" s="22">
        <f t="shared" ca="1" si="0"/>
        <v>438.59325187470694</v>
      </c>
      <c r="D25" s="22">
        <f t="shared" ca="1" si="1"/>
        <v>1023.3842543743162</v>
      </c>
      <c r="E25" s="24">
        <f ca="1">'All Income'!R26</f>
        <v>6.2999437090389982E-3</v>
      </c>
    </row>
    <row r="26" spans="1:5">
      <c r="A26">
        <v>25</v>
      </c>
      <c r="B26" s="22">
        <f t="shared" ca="1" si="2"/>
        <v>1471.462356281939</v>
      </c>
      <c r="C26" s="22">
        <f t="shared" ca="1" si="0"/>
        <v>441.43870688458168</v>
      </c>
      <c r="D26" s="22">
        <f t="shared" ca="1" si="1"/>
        <v>1030.0236493973573</v>
      </c>
      <c r="E26" s="24">
        <f ca="1">'All Income'!R27</f>
        <v>6.4876853387785807E-3</v>
      </c>
    </row>
    <row r="27" spans="1:5">
      <c r="A27">
        <v>26</v>
      </c>
      <c r="B27" s="22">
        <f t="shared" ca="1" si="2"/>
        <v>1491.644426149898</v>
      </c>
      <c r="C27" s="22">
        <f t="shared" ca="1" si="0"/>
        <v>447.49332784496937</v>
      </c>
      <c r="D27" s="22">
        <f t="shared" ca="1" si="1"/>
        <v>1044.1510983049286</v>
      </c>
      <c r="E27" s="24">
        <f ca="1">'All Income'!R28</f>
        <v>1.3715654893785189E-2</v>
      </c>
    </row>
    <row r="28" spans="1:5">
      <c r="A28">
        <v>27</v>
      </c>
      <c r="B28" s="22">
        <f t="shared" ca="1" si="2"/>
        <v>1522.884866822315</v>
      </c>
      <c r="C28" s="22">
        <f t="shared" ca="1" si="0"/>
        <v>456.86546004669447</v>
      </c>
      <c r="D28" s="22">
        <f t="shared" ca="1" si="1"/>
        <v>1066.0194067756206</v>
      </c>
      <c r="E28" s="24">
        <f ca="1">'All Income'!R29</f>
        <v>2.0943624448791796E-2</v>
      </c>
    </row>
    <row r="29" spans="1:5">
      <c r="A29">
        <v>28</v>
      </c>
      <c r="B29" s="22">
        <f t="shared" ca="1" si="2"/>
        <v>1565.7869610049618</v>
      </c>
      <c r="C29" s="22">
        <f t="shared" ca="1" si="0"/>
        <v>469.73608830148851</v>
      </c>
      <c r="D29" s="22">
        <f t="shared" ca="1" si="1"/>
        <v>1096.0508727034733</v>
      </c>
      <c r="E29" s="24">
        <f ca="1">'All Income'!R30</f>
        <v>2.8171594003798404E-2</v>
      </c>
    </row>
    <row r="30" spans="1:5">
      <c r="A30">
        <v>29</v>
      </c>
      <c r="B30" s="22">
        <f t="shared" ca="1" si="2"/>
        <v>1596.4035191637549</v>
      </c>
      <c r="C30" s="22">
        <f t="shared" ca="1" si="0"/>
        <v>478.92105574912648</v>
      </c>
      <c r="D30" s="22">
        <f t="shared" ca="1" si="1"/>
        <v>1117.4824634146285</v>
      </c>
      <c r="E30" s="24">
        <f ca="1">'All Income'!R31</f>
        <v>1.9553463479567289E-2</v>
      </c>
    </row>
    <row r="31" spans="1:5">
      <c r="A31">
        <v>30</v>
      </c>
      <c r="B31" s="22">
        <f t="shared" ca="1" si="2"/>
        <v>1613.8607231768808</v>
      </c>
      <c r="C31" s="22">
        <f t="shared" ca="1" si="0"/>
        <v>484.1582169530642</v>
      </c>
      <c r="D31" s="22">
        <f t="shared" ca="1" si="1"/>
        <v>1129.7025062238167</v>
      </c>
      <c r="E31" s="24">
        <f ca="1">'All Income'!R32</f>
        <v>1.0935332955336177E-2</v>
      </c>
    </row>
    <row r="32" spans="1:5">
      <c r="A32">
        <v>31</v>
      </c>
      <c r="B32" s="22">
        <f t="shared" ca="1" si="2"/>
        <v>1617.6003651680912</v>
      </c>
      <c r="C32" s="22">
        <f t="shared" ca="1" si="0"/>
        <v>485.28010955042737</v>
      </c>
      <c r="D32" s="22">
        <f t="shared" ca="1" si="1"/>
        <v>1132.3202556176639</v>
      </c>
      <c r="E32" s="24">
        <f ca="1">'All Income'!R33</f>
        <v>2.3172024311050613E-3</v>
      </c>
    </row>
    <row r="33" spans="1:5">
      <c r="A33">
        <v>32</v>
      </c>
      <c r="B33" s="22">
        <f t="shared" ca="1" si="2"/>
        <v>1631.5007834228215</v>
      </c>
      <c r="C33" s="22">
        <f t="shared" ca="1" si="0"/>
        <v>489.45023502684643</v>
      </c>
      <c r="D33" s="22">
        <f t="shared" ca="1" si="1"/>
        <v>1142.0505483959751</v>
      </c>
      <c r="E33" s="24">
        <f ca="1">'All Income'!R34</f>
        <v>8.5932338753432862E-3</v>
      </c>
    </row>
    <row r="34" spans="1:5">
      <c r="A34">
        <v>33</v>
      </c>
      <c r="B34" s="22">
        <f t="shared" ca="1" si="2"/>
        <v>1655.7600014406405</v>
      </c>
      <c r="C34" s="22">
        <f t="shared" ca="1" si="0"/>
        <v>496.72800043219212</v>
      </c>
      <c r="D34" s="22">
        <f t="shared" ca="1" si="1"/>
        <v>1159.0320010084483</v>
      </c>
      <c r="E34" s="24">
        <f ca="1">'All Income'!R35</f>
        <v>1.486926531958151E-2</v>
      </c>
    </row>
    <row r="35" spans="1:5">
      <c r="A35">
        <v>34</v>
      </c>
      <c r="B35" s="22">
        <f t="shared" ca="1" si="2"/>
        <v>1690.7715380407653</v>
      </c>
      <c r="C35" s="22">
        <f t="shared" ca="1" si="0"/>
        <v>507.23146141222958</v>
      </c>
      <c r="D35" s="22">
        <f t="shared" ca="1" si="1"/>
        <v>1183.5400766285356</v>
      </c>
      <c r="E35" s="24">
        <f ca="1">'All Income'!R36</f>
        <v>2.1145296763819734E-2</v>
      </c>
    </row>
    <row r="36" spans="1:5">
      <c r="A36">
        <v>35</v>
      </c>
      <c r="B36" s="22">
        <f t="shared" ca="1" si="2"/>
        <v>1714.60611532856</v>
      </c>
      <c r="C36" s="22">
        <f t="shared" ca="1" si="0"/>
        <v>514.38183459856793</v>
      </c>
      <c r="D36" s="22">
        <f t="shared" ca="1" si="1"/>
        <v>1200.2242807299922</v>
      </c>
      <c r="E36" s="24">
        <f ca="1">'All Income'!R37</f>
        <v>1.4096864509213155E-2</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Q&amp;A</vt:lpstr>
      <vt:lpstr>summary</vt:lpstr>
      <vt:lpstr>Cash</vt:lpstr>
      <vt:lpstr>Worth</vt:lpstr>
      <vt:lpstr>All Income</vt:lpstr>
      <vt:lpstr>TSP</vt:lpstr>
      <vt:lpstr>Soc Sec</vt:lpstr>
      <vt:lpstr>FERS </vt:lpstr>
      <vt:lpstr>Rentals</vt:lpstr>
      <vt:lpstr>PT work</vt:lpstr>
      <vt:lpstr>IRA &amp; svgs</vt:lpstr>
      <vt:lpstr>All Expenses</vt:lpstr>
      <vt:lpstr>Expectation</vt:lpstr>
      <vt:lpstr>Housing</vt:lpstr>
      <vt:lpstr>Med + Ins</vt:lpstr>
      <vt:lpstr>Car</vt:lpstr>
      <vt:lpstr>Travel</vt:lpstr>
      <vt:lpstr>Food</vt:lpstr>
      <vt:lpstr>Charity</vt:lpstr>
      <vt:lpstr>Tax</vt:lpstr>
      <vt:lpstr>tax simple</vt:lpstr>
      <vt:lpstr>Misc</vt:lpstr>
      <vt:lpstr>option</vt:lpstr>
    </vt:vector>
  </TitlesOfParts>
  <Company>HANFORD (CMW 4.0)</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ajs</dc:creator>
  <cp:lastModifiedBy>ajs</cp:lastModifiedBy>
  <cp:lastPrinted>2007-09-19T17:30:46Z</cp:lastPrinted>
  <dcterms:created xsi:type="dcterms:W3CDTF">2006-11-01T21:30:43Z</dcterms:created>
  <dcterms:modified xsi:type="dcterms:W3CDTF">2010-05-19T23:13:44Z</dcterms:modified>
</cp:coreProperties>
</file>